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84" windowWidth="22932" windowHeight="9480"/>
  </bookViews>
  <sheets>
    <sheet name="InputsResults" sheetId="1" r:id="rId1"/>
    <sheet name="Model" sheetId="2" state="hidden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8" i="2"/>
  <c r="N19" s="1"/>
  <c r="N27" s="1"/>
  <c r="N47" s="1"/>
  <c r="K18"/>
  <c r="N87"/>
  <c r="N86"/>
  <c r="N85"/>
  <c r="N84"/>
  <c r="N83"/>
  <c r="N82"/>
  <c r="N96" s="1"/>
  <c r="N81"/>
  <c r="N91" s="1"/>
  <c r="N80"/>
  <c r="N79"/>
  <c r="N78"/>
  <c r="S54" s="1"/>
  <c r="N77"/>
  <c r="N48"/>
  <c r="K48"/>
  <c r="N46"/>
  <c r="N58" s="1"/>
  <c r="K46"/>
  <c r="K58" s="1"/>
  <c r="N55"/>
  <c r="M63" s="1"/>
  <c r="N63" s="1"/>
  <c r="N54"/>
  <c r="M62" s="1"/>
  <c r="N62" s="1"/>
  <c r="K54"/>
  <c r="J62" s="1"/>
  <c r="K62" s="1"/>
  <c r="N53"/>
  <c r="N51"/>
  <c r="N50"/>
  <c r="L16" i="1"/>
  <c r="L15"/>
  <c r="L12"/>
  <c r="O31" i="2"/>
  <c r="O30"/>
  <c r="O28"/>
  <c r="O25"/>
  <c r="O24"/>
  <c r="O22"/>
  <c r="N25"/>
  <c r="N24"/>
  <c r="N23"/>
  <c r="N22"/>
  <c r="N21"/>
  <c r="N16"/>
  <c r="N14"/>
  <c r="N12"/>
  <c r="N11"/>
  <c r="N10"/>
  <c r="N9"/>
  <c r="N8"/>
  <c r="N7"/>
  <c r="K86"/>
  <c r="K85"/>
  <c r="K84"/>
  <c r="K83"/>
  <c r="K82"/>
  <c r="K81"/>
  <c r="R101" s="1"/>
  <c r="K80"/>
  <c r="K79"/>
  <c r="K78"/>
  <c r="K77"/>
  <c r="K55"/>
  <c r="J63" s="1"/>
  <c r="K63" s="1"/>
  <c r="K53"/>
  <c r="K51"/>
  <c r="K50"/>
  <c r="Q55"/>
  <c r="Q56" s="1"/>
  <c r="Q57" s="1"/>
  <c r="L22"/>
  <c r="L28" s="1"/>
  <c r="K10"/>
  <c r="K9"/>
  <c r="K11" s="1"/>
  <c r="M59" l="1"/>
  <c r="S77"/>
  <c r="S81"/>
  <c r="S85"/>
  <c r="S89"/>
  <c r="S93"/>
  <c r="S97"/>
  <c r="S101"/>
  <c r="R64"/>
  <c r="R68"/>
  <c r="R72"/>
  <c r="R76"/>
  <c r="R80"/>
  <c r="R84"/>
  <c r="R88"/>
  <c r="R92"/>
  <c r="R96"/>
  <c r="R100"/>
  <c r="S55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6"/>
  <c r="S80"/>
  <c r="S84"/>
  <c r="S88"/>
  <c r="S92"/>
  <c r="S96"/>
  <c r="S100"/>
  <c r="R67"/>
  <c r="R71"/>
  <c r="R75"/>
  <c r="R79"/>
  <c r="R83"/>
  <c r="R87"/>
  <c r="R91"/>
  <c r="R95"/>
  <c r="R99"/>
  <c r="R103"/>
  <c r="S75"/>
  <c r="S79"/>
  <c r="S83"/>
  <c r="S87"/>
  <c r="S91"/>
  <c r="S95"/>
  <c r="S99"/>
  <c r="S103"/>
  <c r="R66"/>
  <c r="R70"/>
  <c r="R74"/>
  <c r="R78"/>
  <c r="R82"/>
  <c r="R86"/>
  <c r="R90"/>
  <c r="R94"/>
  <c r="R98"/>
  <c r="R102"/>
  <c r="N92"/>
  <c r="S74"/>
  <c r="S78"/>
  <c r="S82"/>
  <c r="S86"/>
  <c r="S90"/>
  <c r="S94"/>
  <c r="S98"/>
  <c r="S102"/>
  <c r="R65"/>
  <c r="R69"/>
  <c r="R73"/>
  <c r="R77"/>
  <c r="R81"/>
  <c r="R85"/>
  <c r="R89"/>
  <c r="R93"/>
  <c r="R97"/>
  <c r="N59"/>
  <c r="N28"/>
  <c r="K12"/>
  <c r="K14" s="1"/>
  <c r="K16" s="1"/>
  <c r="K19" s="1"/>
  <c r="K27" s="1"/>
  <c r="K47" s="1"/>
  <c r="J59" s="1"/>
  <c r="K96"/>
  <c r="K91"/>
  <c r="K92"/>
  <c r="R54"/>
  <c r="Q58"/>
  <c r="L24"/>
  <c r="L25" s="1"/>
  <c r="N90" l="1"/>
  <c r="N93" s="1"/>
  <c r="N29"/>
  <c r="N30"/>
  <c r="N31"/>
  <c r="R55"/>
  <c r="R56" s="1"/>
  <c r="R57" s="1"/>
  <c r="R58" s="1"/>
  <c r="R59" s="1"/>
  <c r="R60" s="1"/>
  <c r="R61" s="1"/>
  <c r="R62" s="1"/>
  <c r="R63" s="1"/>
  <c r="K28"/>
  <c r="K31" s="1"/>
  <c r="K28" i="1" s="1"/>
  <c r="Q59" i="2"/>
  <c r="K59"/>
  <c r="N95" l="1"/>
  <c r="N97" s="1"/>
  <c r="L36" i="1" s="1"/>
  <c r="N94" i="2"/>
  <c r="N33"/>
  <c r="L29" i="1" s="1"/>
  <c r="L28"/>
  <c r="N49" i="2"/>
  <c r="K30"/>
  <c r="K49"/>
  <c r="K52" s="1"/>
  <c r="K33"/>
  <c r="K29" i="1" s="1"/>
  <c r="K29" i="2"/>
  <c r="Q60"/>
  <c r="M60" l="1"/>
  <c r="N52"/>
  <c r="J60"/>
  <c r="K60" s="1"/>
  <c r="Q61"/>
  <c r="K99"/>
  <c r="J61"/>
  <c r="K61" s="1"/>
  <c r="N60" l="1"/>
  <c r="M61"/>
  <c r="N61" s="1"/>
  <c r="N99"/>
  <c r="N100" s="1"/>
  <c r="L37" i="1" s="1"/>
  <c r="J66" i="2"/>
  <c r="J69" s="1"/>
  <c r="K66"/>
  <c r="K69" s="1"/>
  <c r="Q62"/>
  <c r="J65"/>
  <c r="J68" s="1"/>
  <c r="M65" l="1"/>
  <c r="M68" s="1"/>
  <c r="N66"/>
  <c r="N69" s="1"/>
  <c r="N65"/>
  <c r="M66"/>
  <c r="M69" s="1"/>
  <c r="Q63"/>
  <c r="N102" l="1"/>
  <c r="N103" s="1"/>
  <c r="L38" i="1" s="1"/>
  <c r="N68" i="2"/>
  <c r="L33" i="1" s="1"/>
  <c r="L32"/>
  <c r="Q64" i="2"/>
  <c r="Q65" l="1"/>
  <c r="Q66" l="1"/>
  <c r="Q67" l="1"/>
  <c r="Q68" l="1"/>
  <c r="Q69" l="1"/>
  <c r="Q70" l="1"/>
  <c r="Q71" l="1"/>
  <c r="Q72" l="1"/>
  <c r="Q73" l="1"/>
  <c r="Q74" l="1"/>
  <c r="Q75" l="1"/>
  <c r="Q76" l="1"/>
  <c r="Q77" l="1"/>
  <c r="Q78" l="1"/>
  <c r="Q79" l="1"/>
  <c r="Q80" l="1"/>
  <c r="Q81" l="1"/>
  <c r="Q82" l="1"/>
  <c r="Q83" l="1"/>
  <c r="Q84" l="1"/>
  <c r="Q85" l="1"/>
  <c r="Q86" l="1"/>
  <c r="Q87" l="1"/>
  <c r="Q88" l="1"/>
  <c r="Q89" l="1"/>
  <c r="Q90" l="1"/>
  <c r="Q91" l="1"/>
  <c r="Q92" l="1"/>
  <c r="Q93" l="1"/>
  <c r="Q94" l="1"/>
  <c r="Q95" l="1"/>
  <c r="Q96" l="1"/>
  <c r="Q97" l="1"/>
  <c r="Q98" l="1"/>
  <c r="Q99" l="1"/>
  <c r="Q100" l="1"/>
  <c r="Q101" l="1"/>
  <c r="Q102" l="1"/>
  <c r="Q103" l="1"/>
  <c r="K90" s="1"/>
  <c r="K93" l="1"/>
  <c r="K94" s="1"/>
  <c r="K95" s="1"/>
  <c r="K97" s="1"/>
  <c r="K65"/>
  <c r="K32" i="1" s="1"/>
  <c r="K100" i="2" l="1"/>
  <c r="K37" i="1" s="1"/>
  <c r="K36"/>
  <c r="K102" i="2"/>
  <c r="K68"/>
  <c r="K33" i="1" s="1"/>
  <c r="K103" i="2" l="1"/>
  <c r="K38" i="1" s="1"/>
</calcChain>
</file>

<file path=xl/sharedStrings.xml><?xml version="1.0" encoding="utf-8"?>
<sst xmlns="http://schemas.openxmlformats.org/spreadsheetml/2006/main" count="156" uniqueCount="118">
  <si>
    <t>Average percent aware of app that would download it</t>
  </si>
  <si>
    <t>Average percent who downloaded app that would fully populate it</t>
  </si>
  <si>
    <t>Average percent of those who populated app that will not achieve life goals</t>
  </si>
  <si>
    <t>Average liklihood of consulting a professional financial advisor</t>
  </si>
  <si>
    <t>Average liklihood of clicking on a referral link to obtain a professional financial advisor</t>
  </si>
  <si>
    <t>INPUT DATA</t>
  </si>
  <si>
    <t>CALCULATED VALUES</t>
  </si>
  <si>
    <t xml:space="preserve">Number in target population who download app </t>
  </si>
  <si>
    <t>Number in target population who populated app and will NOT achieve their life goals</t>
  </si>
  <si>
    <t>Number in target population who populated the app and will consult a professional financial advisor</t>
  </si>
  <si>
    <t>Number in target population who will click on a referral link to a professional financial advisor</t>
  </si>
  <si>
    <t>Number clicking referral link as a % of target population that downloads and fully populates app</t>
  </si>
  <si>
    <t>REFERRAL RATE</t>
  </si>
  <si>
    <t>Values</t>
  </si>
  <si>
    <t>Intermed.</t>
  </si>
  <si>
    <t>Calcs.</t>
  </si>
  <si>
    <t>Number married</t>
  </si>
  <si>
    <t>Number not married</t>
  </si>
  <si>
    <t>Number of married couples</t>
  </si>
  <si>
    <t>Number of households age 30-54</t>
  </si>
  <si>
    <t>Number of households age 30-54 with annual income  &gt;$100,000</t>
  </si>
  <si>
    <t>ASSUMED TARGET POPULATION MADE AWARE OF FREE APP</t>
  </si>
  <si>
    <t xml:space="preserve">Front-end app customization fee ($25K-$50K)                       </t>
  </si>
  <si>
    <t>Monthly</t>
  </si>
  <si>
    <t>Annual</t>
  </si>
  <si>
    <t>Download fees</t>
  </si>
  <si>
    <t>Push notifications</t>
  </si>
  <si>
    <t>First year</t>
  </si>
  <si>
    <t>Subsequent years</t>
  </si>
  <si>
    <t>WHITE-LABEL PRICING</t>
  </si>
  <si>
    <t>Fee per referral ($5-$10)</t>
  </si>
  <si>
    <t>CALCULATIONS</t>
  </si>
  <si>
    <t>Referral fees</t>
  </si>
  <si>
    <t>Number of referrals converted to clients</t>
  </si>
  <si>
    <t>Conversion-to-client fees</t>
  </si>
  <si>
    <t>Cost per client</t>
  </si>
  <si>
    <t>Number of downloads that will click on a referral link to a professional financial advisor</t>
  </si>
  <si>
    <t>Input</t>
  </si>
  <si>
    <t>Calc. Value</t>
  </si>
  <si>
    <t>Result</t>
  </si>
  <si>
    <t>Given Value</t>
  </si>
  <si>
    <t>Color Key</t>
  </si>
  <si>
    <t>ESTIMATED LIFETIME VALUE OF A CLIENT</t>
  </si>
  <si>
    <t>Present value of AUM fees</t>
  </si>
  <si>
    <t>Year</t>
  </si>
  <si>
    <t xml:space="preserve">        Total present value of revenue attributable to new client</t>
  </si>
  <si>
    <t>Plus: Present value of annual client revenue from plan preparation/reviews</t>
  </si>
  <si>
    <t>Plus: Present value of additional revenue from initial client referrals</t>
  </si>
  <si>
    <t xml:space="preserve">        Total present value of revenues from initial client</t>
  </si>
  <si>
    <t>Less: Present value of annual client retention cost attributed to new client and related referrals</t>
  </si>
  <si>
    <t>Plus: Present value of annual client revenue from fees and commissions (excl. AUM and plan prep./review)</t>
  </si>
  <si>
    <t>Percent of population that is married*</t>
  </si>
  <si>
    <t>2015 Population age 30-54*</t>
  </si>
  <si>
    <r>
      <t>****</t>
    </r>
    <r>
      <rPr>
        <sz val="8"/>
        <color theme="1"/>
        <rFont val="Calibri"/>
        <family val="2"/>
        <scheme val="minor"/>
      </rPr>
      <t xml:space="preserve">Lawrence J. Gitman, </t>
    </r>
    <r>
      <rPr>
        <i/>
        <sz val="8"/>
        <color theme="1"/>
        <rFont val="Calibri"/>
        <family val="2"/>
        <scheme val="minor"/>
      </rPr>
      <t>White Paper: Can an App Generate Financial Planning Leads?</t>
    </r>
    <r>
      <rPr>
        <sz val="8"/>
        <color theme="1"/>
        <rFont val="Calibri"/>
        <family val="2"/>
        <scheme val="minor"/>
      </rPr>
      <t>, April, 2015, Appendix, page 7.</t>
    </r>
  </si>
  <si>
    <t>Number of target households made aware of free app</t>
  </si>
  <si>
    <t>TOTAL COST OF LEAD-GENERATION AS A PERCENT OF TOTAL NPV FROM RESULTING CLIENTS</t>
  </si>
  <si>
    <t>Discount rate (current US Treasury 20-year CMT)</t>
  </si>
  <si>
    <t xml:space="preserve">  PFP WIZ REFERRAL RATE, WHITE-LABEL PRICING, LIFETIME VALUE OF CLIENT CALCULATIONS</t>
  </si>
  <si>
    <t>LIFETIME VALUE OF A CLIENT (NET PRESENT VALUE OF NEW CLIENT)</t>
  </si>
  <si>
    <r>
      <rPr>
        <b/>
        <sz val="11"/>
        <color theme="1"/>
        <rFont val="Calibri"/>
        <family val="2"/>
        <scheme val="minor"/>
      </rPr>
      <t>Target Population</t>
    </r>
    <r>
      <rPr>
        <sz val="11"/>
        <color theme="1"/>
        <rFont val="Calibri"/>
        <family val="2"/>
        <scheme val="minor"/>
      </rPr>
      <t xml:space="preserve"> age 30-54 with annual income &gt;$100,000 and no professional financial advisor</t>
    </r>
  </si>
  <si>
    <r>
      <t>*</t>
    </r>
    <r>
      <rPr>
        <i/>
        <sz val="8"/>
        <color theme="1"/>
        <rFont val="Calibri"/>
        <family val="2"/>
        <scheme val="minor"/>
      </rPr>
      <t>ProQuest Statistical Abstract of the United States 2014.</t>
    </r>
  </si>
  <si>
    <t>Referrals</t>
  </si>
  <si>
    <t>RESULTS</t>
  </si>
  <si>
    <t>White-Label Pricing</t>
  </si>
  <si>
    <t>Cost per client in first year</t>
  </si>
  <si>
    <t>USER INPUTS</t>
  </si>
  <si>
    <t>Average client age when acquired</t>
  </si>
  <si>
    <t>Average amount of client investments at time of acquisition</t>
  </si>
  <si>
    <t>Average annual rate of growth in client investments</t>
  </si>
  <si>
    <t>Average annual fee for assets under management (AUM)</t>
  </si>
  <si>
    <t>Average term of the client relationship (years)</t>
  </si>
  <si>
    <t>Assumed number of referrals made by client that become new clients</t>
  </si>
  <si>
    <t>Average value of client referral as a percent of initial client's lifetime value</t>
  </si>
  <si>
    <t>Average annual client revenue from plan preparation/reviews</t>
  </si>
  <si>
    <t>Average additional annual client revenue from fees and commissions (excl. AUM and plan prep./review)</t>
  </si>
  <si>
    <t>Average annual client retention cost (support, communication, accounting, billing, promo. incentives, etc.)</t>
  </si>
  <si>
    <t>Lifetime value of a client (Net present value of new client)</t>
  </si>
  <si>
    <t>Total net present value attributable to all clients resulting from the app</t>
  </si>
  <si>
    <t>TOTAL NET PRESENT VALUE ATTRIBUTABLE TO ALL CLIENTS RESULTING FROM THE APP</t>
  </si>
  <si>
    <t>Total cost of lead-generation as a percent of total NPV from resulting clients</t>
  </si>
  <si>
    <t>Lifetime Value of a Client (Net Present Value of New Client)</t>
  </si>
  <si>
    <t xml:space="preserve">         PFP WIZ REFERRAL RATE, WHITE-LABEL PRICING, LIFETIME VALUE OF CLIENT </t>
  </si>
  <si>
    <t xml:space="preserve">Total cost of lead generation (total fees received) in first year </t>
  </si>
  <si>
    <t>Total cost of lead generation</t>
  </si>
  <si>
    <t>First year (Total fees received)</t>
  </si>
  <si>
    <t>Monthly fee for managing app account ($0-$3,000)</t>
  </si>
  <si>
    <t xml:space="preserve">         AUM CASH FLOWS</t>
  </si>
  <si>
    <t>Calcs</t>
  </si>
  <si>
    <r>
      <t>**</t>
    </r>
    <r>
      <rPr>
        <sz val="8"/>
        <color theme="1"/>
        <rFont val="Calibri"/>
        <family val="2"/>
        <scheme val="minor"/>
      </rPr>
      <t xml:space="preserve">Estimated from data in the </t>
    </r>
    <r>
      <rPr>
        <i/>
        <sz val="8"/>
        <color theme="1"/>
        <rFont val="Calibri"/>
        <family val="2"/>
        <scheme val="minor"/>
      </rPr>
      <t>ProQuest  Statistical Abstract of the United States 2014</t>
    </r>
    <r>
      <rPr>
        <sz val="8"/>
        <color theme="1"/>
        <rFont val="Calibri"/>
        <family val="2"/>
        <scheme val="minor"/>
      </rPr>
      <t>, which was 13%.</t>
    </r>
    <r>
      <rPr>
        <i/>
        <sz val="8"/>
        <color theme="1"/>
        <rFont val="Calibri"/>
        <family val="2"/>
        <scheme val="minor"/>
      </rPr>
      <t xml:space="preserve"> </t>
    </r>
  </si>
  <si>
    <r>
      <t>***</t>
    </r>
    <r>
      <rPr>
        <sz val="8"/>
        <color theme="1"/>
        <rFont val="Calibri"/>
        <family val="2"/>
        <scheme val="minor"/>
      </rPr>
      <t>Estimated from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Lawrence J. Gitman, </t>
    </r>
    <r>
      <rPr>
        <i/>
        <sz val="8"/>
        <color theme="1"/>
        <rFont val="Calibri"/>
        <family val="2"/>
        <scheme val="minor"/>
      </rPr>
      <t>White Paper: Can an App Generate Financial Planning Leads?</t>
    </r>
    <r>
      <rPr>
        <sz val="8"/>
        <color theme="1"/>
        <rFont val="Calibri"/>
        <family val="2"/>
        <scheme val="minor"/>
      </rPr>
      <t>, April, 2015, page 2, which was 55%..</t>
    </r>
  </si>
  <si>
    <t>RESEARCH-BASED PARAMETERS****</t>
  </si>
  <si>
    <t>Number in target population made aware of the free app who fully populate the app</t>
  </si>
  <si>
    <t>Fee per download of app ($0.10-$0.99)</t>
  </si>
  <si>
    <t>Percent of households with annual income &gt;$100,000** (10%-15%)</t>
  </si>
  <si>
    <t>Percent of target households made aware of free app (10%-30%)</t>
  </si>
  <si>
    <t>Front-end app customization fee (25K-50K)</t>
  </si>
  <si>
    <t>Percent of referrals converted to clients (5%-20%)</t>
  </si>
  <si>
    <t>Fee per conversion, i.e., self-referral, from app ($25-$100)</t>
  </si>
  <si>
    <t>Average client age when acquired (50yrs-35yrs)</t>
  </si>
  <si>
    <t>Average amount of client investments at time of acquisition ($100K-$200K)</t>
  </si>
  <si>
    <t>Average term of the client relationship (10 yrs-20 yrs)</t>
  </si>
  <si>
    <t>Average value of client referral as a percent of initial client's lifetime value (50%-100%)</t>
  </si>
  <si>
    <t>Average annual client revenue from plan preparation/reviews ($500-$1,500)</t>
  </si>
  <si>
    <t>Average add'l annual client rev. from fees and commissions excl. AUM and plan prep./review ($0-$1,000)</t>
  </si>
  <si>
    <t>Average annual client support, communic., acc'ting, billing, promo., incent, etc. cost ($500-$1,000)</t>
  </si>
  <si>
    <t xml:space="preserve">Number of downloads (K27,N27)  </t>
  </si>
  <si>
    <t>Front-end app customization fee (first year only) (K46, N46)</t>
  </si>
  <si>
    <t>Managing app account fees (K54, N54)</t>
  </si>
  <si>
    <t>Monthly Push notifications ($50 subscription cost + 2 Pushes at $400 each)</t>
  </si>
  <si>
    <t>Number of referrals converted to clients (K52, N52)</t>
  </si>
  <si>
    <t>Total  cost of lead generation (K65, N65)</t>
  </si>
  <si>
    <t>Percent of households without a professional financial advisor*** (40%-60%)</t>
  </si>
  <si>
    <t>Conservative</t>
  </si>
  <si>
    <t>Otimistic</t>
  </si>
  <si>
    <t>Optimistic</t>
  </si>
  <si>
    <t xml:space="preserve">    Conservative Scenario</t>
  </si>
  <si>
    <t xml:space="preserve"> </t>
  </si>
  <si>
    <t xml:space="preserve">  Optimistic Scenario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</si>
</sst>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1">
    <xf numFmtId="0" fontId="0" fillId="0" borderId="0" xfId="0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164" fontId="0" fillId="0" borderId="0" xfId="0" applyNumberFormat="1"/>
    <xf numFmtId="10" fontId="0" fillId="0" borderId="0" xfId="2" applyNumberFormat="1" applyFont="1"/>
    <xf numFmtId="10" fontId="0" fillId="2" borderId="1" xfId="2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/>
    <xf numFmtId="0" fontId="0" fillId="0" borderId="0" xfId="0" applyAlignment="1">
      <alignment horizontal="left"/>
    </xf>
    <xf numFmtId="0" fontId="1" fillId="0" borderId="0" xfId="0" applyFont="1" applyBorder="1"/>
    <xf numFmtId="0" fontId="0" fillId="0" borderId="0" xfId="0" applyBorder="1"/>
    <xf numFmtId="0" fontId="3" fillId="0" borderId="0" xfId="0" applyFont="1"/>
    <xf numFmtId="44" fontId="0" fillId="0" borderId="0" xfId="3" applyFont="1"/>
    <xf numFmtId="165" fontId="0" fillId="0" borderId="0" xfId="3" applyNumberFormat="1" applyFont="1"/>
    <xf numFmtId="165" fontId="0" fillId="0" borderId="0" xfId="0" applyNumberFormat="1"/>
    <xf numFmtId="44" fontId="0" fillId="0" borderId="0" xfId="0" applyNumberFormat="1"/>
    <xf numFmtId="0" fontId="0" fillId="0" borderId="5" xfId="0" applyBorder="1" applyAlignment="1">
      <alignment horizontal="center"/>
    </xf>
    <xf numFmtId="44" fontId="0" fillId="2" borderId="1" xfId="3" applyFont="1" applyFill="1" applyBorder="1"/>
    <xf numFmtId="10" fontId="0" fillId="0" borderId="0" xfId="2" applyNumberFormat="1" applyFont="1" applyFill="1" applyBorder="1"/>
    <xf numFmtId="165" fontId="0" fillId="4" borderId="0" xfId="3" applyNumberFormat="1" applyFont="1" applyFill="1"/>
    <xf numFmtId="44" fontId="0" fillId="4" borderId="6" xfId="3" applyFont="1" applyFill="1" applyBorder="1"/>
    <xf numFmtId="164" fontId="0" fillId="3" borderId="7" xfId="1" applyNumberFormat="1" applyFont="1" applyFill="1" applyBorder="1"/>
    <xf numFmtId="9" fontId="0" fillId="4" borderId="7" xfId="3" applyNumberFormat="1" applyFont="1" applyFill="1" applyBorder="1"/>
    <xf numFmtId="44" fontId="0" fillId="4" borderId="7" xfId="3" applyFont="1" applyFill="1" applyBorder="1"/>
    <xf numFmtId="164" fontId="0" fillId="3" borderId="7" xfId="0" applyNumberFormat="1" applyFill="1" applyBorder="1"/>
    <xf numFmtId="0" fontId="0" fillId="0" borderId="0" xfId="0" applyFill="1"/>
    <xf numFmtId="164" fontId="2" fillId="3" borderId="7" xfId="1" applyNumberFormat="1" applyFont="1" applyFill="1" applyBorder="1"/>
    <xf numFmtId="0" fontId="0" fillId="0" borderId="8" xfId="0" applyBorder="1"/>
    <xf numFmtId="0" fontId="0" fillId="4" borderId="9" xfId="0" applyFill="1" applyBorder="1"/>
    <xf numFmtId="0" fontId="0" fillId="3" borderId="10" xfId="0" applyFill="1" applyBorder="1"/>
    <xf numFmtId="0" fontId="0" fillId="2" borderId="11" xfId="0" applyFill="1" applyBorder="1"/>
    <xf numFmtId="9" fontId="0" fillId="4" borderId="7" xfId="1" applyNumberFormat="1" applyFont="1" applyFill="1" applyBorder="1"/>
    <xf numFmtId="9" fontId="0" fillId="4" borderId="7" xfId="2" applyFont="1" applyFill="1" applyBorder="1"/>
    <xf numFmtId="3" fontId="0" fillId="3" borderId="7" xfId="0" applyNumberFormat="1" applyFill="1" applyBorder="1"/>
    <xf numFmtId="10" fontId="0" fillId="3" borderId="0" xfId="0" applyNumberFormat="1" applyFill="1"/>
    <xf numFmtId="10" fontId="0" fillId="3" borderId="0" xfId="2" applyNumberFormat="1" applyFont="1" applyFill="1"/>
    <xf numFmtId="165" fontId="0" fillId="3" borderId="0" xfId="3" applyNumberFormat="1" applyFont="1" applyFill="1"/>
    <xf numFmtId="44" fontId="0" fillId="3" borderId="6" xfId="3" applyFont="1" applyFill="1" applyBorder="1"/>
    <xf numFmtId="165" fontId="0" fillId="3" borderId="7" xfId="0" applyNumberFormat="1" applyFill="1" applyBorder="1"/>
    <xf numFmtId="10" fontId="0" fillId="4" borderId="6" xfId="0" applyNumberFormat="1" applyFill="1" applyBorder="1"/>
    <xf numFmtId="165" fontId="0" fillId="4" borderId="7" xfId="3" applyNumberFormat="1" applyFont="1" applyFill="1" applyBorder="1"/>
    <xf numFmtId="9" fontId="0" fillId="4" borderId="7" xfId="0" applyNumberFormat="1" applyFill="1" applyBorder="1"/>
    <xf numFmtId="0" fontId="0" fillId="4" borderId="7" xfId="0" applyFill="1" applyBorder="1"/>
    <xf numFmtId="10" fontId="0" fillId="4" borderId="7" xfId="0" applyNumberFormat="1" applyFill="1" applyBorder="1"/>
    <xf numFmtId="164" fontId="0" fillId="0" borderId="0" xfId="1" applyNumberFormat="1" applyFont="1"/>
    <xf numFmtId="164" fontId="0" fillId="3" borderId="0" xfId="3" applyNumberFormat="1" applyFont="1" applyFill="1" applyBorder="1"/>
    <xf numFmtId="164" fontId="0" fillId="3" borderId="5" xfId="3" applyNumberFormat="1" applyFont="1" applyFill="1" applyBorder="1"/>
    <xf numFmtId="165" fontId="0" fillId="3" borderId="0" xfId="3" applyNumberFormat="1" applyFont="1" applyFill="1" applyBorder="1"/>
    <xf numFmtId="165" fontId="0" fillId="3" borderId="13" xfId="0" applyNumberFormat="1" applyFill="1" applyBorder="1"/>
    <xf numFmtId="164" fontId="0" fillId="3" borderId="15" xfId="1" applyNumberFormat="1" applyFont="1" applyFill="1" applyBorder="1"/>
    <xf numFmtId="0" fontId="0" fillId="3" borderId="16" xfId="0" applyFill="1" applyBorder="1"/>
    <xf numFmtId="0" fontId="0" fillId="3" borderId="18" xfId="0" applyFill="1" applyBorder="1"/>
    <xf numFmtId="0" fontId="0" fillId="3" borderId="17" xfId="0" applyFill="1" applyBorder="1"/>
    <xf numFmtId="165" fontId="0" fillId="2" borderId="20" xfId="0" applyNumberFormat="1" applyFill="1" applyBorder="1"/>
    <xf numFmtId="9" fontId="2" fillId="4" borderId="7" xfId="1" applyNumberFormat="1" applyFont="1" applyFill="1" applyBorder="1"/>
    <xf numFmtId="164" fontId="0" fillId="3" borderId="7" xfId="0" applyNumberFormat="1" applyFont="1" applyFill="1" applyBorder="1" applyAlignment="1">
      <alignment horizontal="center"/>
    </xf>
    <xf numFmtId="165" fontId="0" fillId="3" borderId="7" xfId="3" applyNumberFormat="1" applyFont="1" applyFill="1" applyBorder="1"/>
    <xf numFmtId="165" fontId="1" fillId="2" borderId="19" xfId="3" applyNumberFormat="1" applyFont="1" applyFill="1" applyBorder="1"/>
    <xf numFmtId="164" fontId="0" fillId="3" borderId="0" xfId="0" applyNumberFormat="1" applyFill="1"/>
    <xf numFmtId="165" fontId="0" fillId="3" borderId="0" xfId="0" applyNumberFormat="1" applyFill="1"/>
    <xf numFmtId="10" fontId="1" fillId="2" borderId="19" xfId="2" applyNumberFormat="1" applyFont="1" applyFill="1" applyBorder="1"/>
    <xf numFmtId="164" fontId="0" fillId="3" borderId="6" xfId="0" applyNumberFormat="1" applyFill="1" applyBorder="1"/>
    <xf numFmtId="164" fontId="1" fillId="2" borderId="1" xfId="0" applyNumberFormat="1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164" fontId="0" fillId="0" borderId="0" xfId="1" applyNumberFormat="1" applyFont="1" applyFill="1" applyBorder="1"/>
    <xf numFmtId="10" fontId="0" fillId="0" borderId="0" xfId="0" applyNumberFormat="1" applyFill="1" applyBorder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65" fontId="0" fillId="0" borderId="0" xfId="3" applyNumberFormat="1" applyFont="1" applyFill="1" applyBorder="1"/>
    <xf numFmtId="44" fontId="0" fillId="0" borderId="0" xfId="3" applyFont="1" applyFill="1" applyBorder="1"/>
    <xf numFmtId="9" fontId="0" fillId="0" borderId="0" xfId="3" applyNumberFormat="1" applyFont="1" applyFill="1" applyBorder="1"/>
    <xf numFmtId="44" fontId="0" fillId="0" borderId="0" xfId="3" applyNumberFormat="1" applyFont="1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9" fontId="0" fillId="0" borderId="0" xfId="0" applyNumberFormat="1" applyFill="1" applyBorder="1"/>
    <xf numFmtId="164" fontId="0" fillId="0" borderId="0" xfId="3" applyNumberFormat="1" applyFont="1" applyFill="1" applyBorder="1"/>
    <xf numFmtId="165" fontId="1" fillId="0" borderId="0" xfId="3" applyNumberFormat="1" applyFont="1" applyFill="1" applyBorder="1"/>
    <xf numFmtId="10" fontId="1" fillId="0" borderId="0" xfId="2" applyNumberFormat="1" applyFont="1" applyFill="1" applyBorder="1"/>
    <xf numFmtId="0" fontId="1" fillId="0" borderId="0" xfId="0" applyFont="1" applyFill="1" applyBorder="1"/>
    <xf numFmtId="1" fontId="0" fillId="4" borderId="0" xfId="0" applyNumberFormat="1" applyFill="1"/>
    <xf numFmtId="1" fontId="0" fillId="4" borderId="7" xfId="0" applyNumberFormat="1" applyFill="1" applyBorder="1"/>
    <xf numFmtId="44" fontId="0" fillId="4" borderId="7" xfId="0" applyNumberFormat="1" applyFill="1" applyBorder="1"/>
    <xf numFmtId="165" fontId="0" fillId="4" borderId="7" xfId="0" applyNumberFormat="1" applyFill="1" applyBorder="1"/>
    <xf numFmtId="0" fontId="0" fillId="0" borderId="0" xfId="0" applyBorder="1" applyAlignment="1">
      <alignment horizontal="left"/>
    </xf>
    <xf numFmtId="0" fontId="1" fillId="4" borderId="2" xfId="0" applyFont="1" applyFill="1" applyBorder="1"/>
    <xf numFmtId="0" fontId="0" fillId="4" borderId="4" xfId="0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0" fillId="5" borderId="4" xfId="0" applyFill="1" applyBorder="1"/>
    <xf numFmtId="0" fontId="0" fillId="5" borderId="3" xfId="0" applyFill="1" applyBorder="1"/>
    <xf numFmtId="164" fontId="0" fillId="3" borderId="5" xfId="0" applyNumberFormat="1" applyFill="1" applyBorder="1"/>
    <xf numFmtId="9" fontId="0" fillId="4" borderId="7" xfId="0" applyNumberFormat="1" applyFont="1" applyFill="1" applyBorder="1"/>
    <xf numFmtId="164" fontId="0" fillId="3" borderId="7" xfId="0" applyNumberFormat="1" applyFont="1" applyFill="1" applyBorder="1"/>
    <xf numFmtId="0" fontId="1" fillId="0" borderId="7" xfId="0" applyFont="1" applyBorder="1"/>
    <xf numFmtId="0" fontId="0" fillId="0" borderId="5" xfId="0" applyBorder="1"/>
    <xf numFmtId="10" fontId="0" fillId="2" borderId="1" xfId="0" applyNumberFormat="1" applyFill="1" applyBorder="1"/>
    <xf numFmtId="166" fontId="0" fillId="4" borderId="23" xfId="0" applyNumberFormat="1" applyFill="1" applyBorder="1"/>
    <xf numFmtId="164" fontId="6" fillId="3" borderId="7" xfId="0" applyNumberFormat="1" applyFont="1" applyFill="1" applyBorder="1"/>
    <xf numFmtId="2" fontId="0" fillId="0" borderId="0" xfId="0" applyNumberFormat="1"/>
    <xf numFmtId="9" fontId="0" fillId="4" borderId="23" xfId="0" applyNumberFormat="1" applyFont="1" applyFill="1" applyBorder="1" applyAlignment="1">
      <alignment horizontal="right"/>
    </xf>
    <xf numFmtId="165" fontId="0" fillId="4" borderId="7" xfId="3" applyNumberFormat="1" applyFont="1" applyFill="1" applyBorder="1" applyAlignment="1">
      <alignment horizontal="center"/>
    </xf>
    <xf numFmtId="44" fontId="0" fillId="4" borderId="7" xfId="3" applyFont="1" applyFill="1" applyBorder="1" applyAlignment="1">
      <alignment horizontal="center"/>
    </xf>
    <xf numFmtId="9" fontId="0" fillId="4" borderId="7" xfId="2" applyFont="1" applyFill="1" applyBorder="1" applyAlignment="1">
      <alignment horizontal="right"/>
    </xf>
    <xf numFmtId="0" fontId="0" fillId="4" borderId="7" xfId="0" applyFont="1" applyFill="1" applyBorder="1"/>
    <xf numFmtId="9" fontId="0" fillId="4" borderId="24" xfId="0" applyNumberFormat="1" applyFill="1" applyBorder="1"/>
    <xf numFmtId="165" fontId="0" fillId="4" borderId="25" xfId="3" applyNumberFormat="1" applyFont="1" applyFill="1" applyBorder="1"/>
    <xf numFmtId="44" fontId="0" fillId="4" borderId="25" xfId="0" applyNumberFormat="1" applyFill="1" applyBorder="1"/>
    <xf numFmtId="44" fontId="0" fillId="4" borderId="25" xfId="3" applyFont="1" applyFill="1" applyBorder="1"/>
    <xf numFmtId="9" fontId="0" fillId="4" borderId="25" xfId="0" applyNumberFormat="1" applyFill="1" applyBorder="1"/>
    <xf numFmtId="1" fontId="0" fillId="4" borderId="25" xfId="2" applyNumberFormat="1" applyFont="1" applyFill="1" applyBorder="1"/>
    <xf numFmtId="9" fontId="0" fillId="4" borderId="25" xfId="1" applyNumberFormat="1" applyFont="1" applyFill="1" applyBorder="1"/>
    <xf numFmtId="10" fontId="0" fillId="4" borderId="25" xfId="1" applyNumberFormat="1" applyFont="1" applyFill="1" applyBorder="1"/>
    <xf numFmtId="164" fontId="2" fillId="4" borderId="25" xfId="1" applyNumberFormat="1" applyFont="1" applyFill="1" applyBorder="1"/>
    <xf numFmtId="1" fontId="2" fillId="4" borderId="25" xfId="1" applyNumberFormat="1" applyFont="1" applyFill="1" applyBorder="1"/>
    <xf numFmtId="9" fontId="2" fillId="4" borderId="25" xfId="1" applyNumberFormat="1" applyFont="1" applyFill="1" applyBorder="1"/>
    <xf numFmtId="165" fontId="0" fillId="4" borderId="25" xfId="0" applyNumberFormat="1" applyFill="1" applyBorder="1"/>
    <xf numFmtId="165" fontId="0" fillId="2" borderId="14" xfId="3" applyNumberFormat="1" applyFont="1" applyFill="1" applyBorder="1"/>
    <xf numFmtId="10" fontId="0" fillId="2" borderId="25" xfId="0" applyNumberFormat="1" applyFill="1" applyBorder="1"/>
    <xf numFmtId="44" fontId="0" fillId="2" borderId="25" xfId="0" applyNumberFormat="1" applyFill="1" applyBorder="1"/>
    <xf numFmtId="165" fontId="0" fillId="2" borderId="25" xfId="3" applyNumberFormat="1" applyFont="1" applyFill="1" applyBorder="1"/>
    <xf numFmtId="164" fontId="0" fillId="3" borderId="17" xfId="1" applyNumberFormat="1" applyFont="1" applyFill="1" applyBorder="1"/>
    <xf numFmtId="165" fontId="6" fillId="3" borderId="16" xfId="3" applyNumberFormat="1" applyFont="1" applyFill="1" applyBorder="1"/>
    <xf numFmtId="41" fontId="6" fillId="3" borderId="18" xfId="3" applyNumberFormat="1" applyFont="1" applyFill="1" applyBorder="1"/>
    <xf numFmtId="41" fontId="6" fillId="3" borderId="17" xfId="3" applyNumberFormat="1" applyFont="1" applyFill="1" applyBorder="1"/>
    <xf numFmtId="1" fontId="0" fillId="4" borderId="23" xfId="0" applyNumberFormat="1" applyFill="1" applyBorder="1"/>
    <xf numFmtId="10" fontId="0" fillId="4" borderId="0" xfId="0" applyNumberFormat="1" applyFill="1"/>
    <xf numFmtId="164" fontId="0" fillId="3" borderId="0" xfId="1" applyNumberFormat="1" applyFont="1" applyFill="1"/>
    <xf numFmtId="164" fontId="6" fillId="3" borderId="5" xfId="3" applyNumberFormat="1" applyFont="1" applyFill="1" applyBorder="1"/>
    <xf numFmtId="164" fontId="0" fillId="3" borderId="5" xfId="1" applyNumberFormat="1" applyFont="1" applyFill="1" applyBorder="1"/>
    <xf numFmtId="165" fontId="1" fillId="2" borderId="19" xfId="0" applyNumberFormat="1" applyFont="1" applyFill="1" applyBorder="1"/>
    <xf numFmtId="165" fontId="0" fillId="2" borderId="26" xfId="3" applyNumberFormat="1" applyFont="1" applyFill="1" applyBorder="1"/>
    <xf numFmtId="37" fontId="0" fillId="2" borderId="14" xfId="3" applyNumberFormat="1" applyFont="1" applyFill="1" applyBorder="1"/>
    <xf numFmtId="164" fontId="0" fillId="2" borderId="26" xfId="1" applyNumberFormat="1" applyFont="1" applyFill="1" applyBorder="1"/>
    <xf numFmtId="10" fontId="0" fillId="2" borderId="27" xfId="0" applyNumberFormat="1" applyFill="1" applyBorder="1"/>
    <xf numFmtId="165" fontId="0" fillId="2" borderId="26" xfId="2" applyNumberFormat="1" applyFont="1" applyFill="1" applyBorder="1"/>
    <xf numFmtId="44" fontId="0" fillId="2" borderId="27" xfId="0" applyNumberFormat="1" applyFill="1" applyBorder="1"/>
    <xf numFmtId="165" fontId="0" fillId="2" borderId="27" xfId="3" applyNumberFormat="1" applyFont="1" applyFill="1" applyBorder="1"/>
    <xf numFmtId="0" fontId="1" fillId="6" borderId="2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44" fontId="0" fillId="3" borderId="23" xfId="3" applyFont="1" applyFill="1" applyBorder="1"/>
    <xf numFmtId="2" fontId="0" fillId="3" borderId="23" xfId="0" applyNumberForma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28" xfId="0" applyFill="1" applyBorder="1"/>
    <xf numFmtId="0" fontId="1" fillId="5" borderId="12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3" xfId="0" applyFont="1" applyFill="1" applyBorder="1"/>
    <xf numFmtId="0" fontId="0" fillId="5" borderId="8" xfId="0" applyFill="1" applyBorder="1"/>
    <xf numFmtId="0" fontId="1" fillId="5" borderId="21" xfId="0" applyFont="1" applyFill="1" applyBorder="1"/>
    <xf numFmtId="0" fontId="1" fillId="5" borderId="22" xfId="0" applyFont="1" applyFill="1" applyBorder="1" applyAlignment="1">
      <alignment horizontal="center"/>
    </xf>
    <xf numFmtId="10" fontId="1" fillId="5" borderId="8" xfId="0" applyNumberFormat="1" applyFont="1" applyFill="1" applyBorder="1" applyAlignment="1">
      <alignment horizontal="center"/>
    </xf>
    <xf numFmtId="10" fontId="1" fillId="5" borderId="8" xfId="2" applyNumberFormat="1" applyFont="1" applyFill="1" applyBorder="1" applyAlignment="1">
      <alignment horizontal="center"/>
    </xf>
    <xf numFmtId="164" fontId="1" fillId="5" borderId="21" xfId="0" applyNumberFormat="1" applyFont="1" applyFill="1" applyBorder="1" applyAlignment="1">
      <alignment horizontal="center"/>
    </xf>
    <xf numFmtId="10" fontId="1" fillId="5" borderId="21" xfId="2" applyNumberFormat="1" applyFont="1" applyFill="1" applyBorder="1" applyAlignment="1">
      <alignment horizontal="center"/>
    </xf>
    <xf numFmtId="165" fontId="0" fillId="4" borderId="6" xfId="3" applyNumberFormat="1" applyFont="1" applyFill="1" applyBorder="1"/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1"/>
  <sheetViews>
    <sheetView tabSelected="1" workbookViewId="0">
      <selection activeCell="L6" sqref="L6"/>
    </sheetView>
  </sheetViews>
  <sheetFormatPr defaultRowHeight="14.4"/>
  <cols>
    <col min="8" max="8" width="12.109375" bestFit="1" customWidth="1"/>
    <col min="9" max="9" width="13.6640625" bestFit="1" customWidth="1"/>
    <col min="10" max="10" width="11" customWidth="1"/>
    <col min="11" max="11" width="15.6640625" bestFit="1" customWidth="1"/>
    <col min="12" max="12" width="15.6640625" customWidth="1"/>
    <col min="15" max="15" width="11.109375" bestFit="1" customWidth="1"/>
  </cols>
  <sheetData>
    <row r="1" spans="2:12" ht="15" thickBot="1"/>
    <row r="2" spans="2:12" ht="15" thickBot="1">
      <c r="B2" s="13"/>
      <c r="C2" s="146" t="s">
        <v>81</v>
      </c>
      <c r="D2" s="147"/>
      <c r="E2" s="147"/>
      <c r="F2" s="147"/>
      <c r="G2" s="147"/>
      <c r="H2" s="147"/>
      <c r="I2" s="148"/>
      <c r="J2" s="91"/>
      <c r="L2" s="13"/>
    </row>
    <row r="3" spans="2:12" ht="15" thickBot="1">
      <c r="K3" s="158" t="s">
        <v>112</v>
      </c>
      <c r="L3" s="158" t="s">
        <v>113</v>
      </c>
    </row>
    <row r="4" spans="2:12" ht="15" thickBot="1">
      <c r="B4" s="92" t="s">
        <v>65</v>
      </c>
      <c r="C4" s="93"/>
      <c r="K4" s="159" t="s">
        <v>13</v>
      </c>
      <c r="L4" s="159" t="s">
        <v>13</v>
      </c>
    </row>
    <row r="5" spans="2:12">
      <c r="B5" t="s">
        <v>94</v>
      </c>
      <c r="K5" s="113">
        <v>0.1</v>
      </c>
      <c r="L5" s="108">
        <v>0.3</v>
      </c>
    </row>
    <row r="6" spans="2:12">
      <c r="B6" t="s">
        <v>95</v>
      </c>
      <c r="H6" s="68"/>
      <c r="K6" s="114">
        <v>25000</v>
      </c>
      <c r="L6" s="109">
        <v>50000</v>
      </c>
    </row>
    <row r="7" spans="2:12">
      <c r="B7" t="s">
        <v>92</v>
      </c>
      <c r="H7" s="15"/>
      <c r="K7" s="115">
        <v>0.1</v>
      </c>
      <c r="L7" s="110">
        <v>0.99</v>
      </c>
    </row>
    <row r="8" spans="2:12">
      <c r="B8" t="s">
        <v>30</v>
      </c>
      <c r="H8" s="69"/>
      <c r="K8" s="116">
        <v>5</v>
      </c>
      <c r="L8" s="110">
        <v>10</v>
      </c>
    </row>
    <row r="9" spans="2:12">
      <c r="B9" t="s">
        <v>96</v>
      </c>
      <c r="H9" s="69"/>
      <c r="K9" s="117">
        <v>0.05</v>
      </c>
      <c r="L9" s="111">
        <v>0.2</v>
      </c>
    </row>
    <row r="10" spans="2:12">
      <c r="B10" t="s">
        <v>97</v>
      </c>
      <c r="H10" s="69"/>
      <c r="K10" s="114">
        <v>25</v>
      </c>
      <c r="L10" s="45">
        <v>100</v>
      </c>
    </row>
    <row r="11" spans="2:12">
      <c r="B11" t="s">
        <v>85</v>
      </c>
      <c r="K11" s="116">
        <v>0</v>
      </c>
      <c r="L11" s="45">
        <v>3000</v>
      </c>
    </row>
    <row r="12" spans="2:12">
      <c r="B12" t="s">
        <v>108</v>
      </c>
      <c r="K12" s="114">
        <v>850</v>
      </c>
      <c r="L12" s="90">
        <f>K12</f>
        <v>850</v>
      </c>
    </row>
    <row r="13" spans="2:12">
      <c r="B13" t="s">
        <v>98</v>
      </c>
      <c r="K13" s="118">
        <v>50</v>
      </c>
      <c r="L13" s="88">
        <v>35</v>
      </c>
    </row>
    <row r="14" spans="2:12">
      <c r="B14" t="s">
        <v>99</v>
      </c>
      <c r="K14" s="114">
        <v>100000</v>
      </c>
      <c r="L14" s="90">
        <v>200000</v>
      </c>
    </row>
    <row r="15" spans="2:12" s="2" customFormat="1">
      <c r="B15" t="s">
        <v>68</v>
      </c>
      <c r="C15"/>
      <c r="D15"/>
      <c r="E15"/>
      <c r="F15"/>
      <c r="G15"/>
      <c r="H15"/>
      <c r="I15"/>
      <c r="J15"/>
      <c r="K15" s="119">
        <v>0.05</v>
      </c>
      <c r="L15" s="46">
        <f>K15</f>
        <v>0.05</v>
      </c>
    </row>
    <row r="16" spans="2:12" s="2" customFormat="1">
      <c r="B16" t="s">
        <v>69</v>
      </c>
      <c r="C16"/>
      <c r="D16"/>
      <c r="E16"/>
      <c r="F16"/>
      <c r="G16"/>
      <c r="H16"/>
      <c r="I16"/>
      <c r="J16"/>
      <c r="K16" s="120">
        <v>5.0000000000000001E-3</v>
      </c>
      <c r="L16" s="48">
        <f>K16</f>
        <v>5.0000000000000001E-3</v>
      </c>
    </row>
    <row r="17" spans="2:12" s="2" customFormat="1">
      <c r="B17" t="s">
        <v>100</v>
      </c>
      <c r="C17"/>
      <c r="D17"/>
      <c r="E17"/>
      <c r="F17"/>
      <c r="G17"/>
      <c r="H17"/>
      <c r="I17"/>
      <c r="J17"/>
      <c r="K17" s="121">
        <v>10</v>
      </c>
      <c r="L17" s="112">
        <v>20</v>
      </c>
    </row>
    <row r="18" spans="2:12" s="2" customFormat="1">
      <c r="B18" t="s">
        <v>71</v>
      </c>
      <c r="C18"/>
      <c r="D18"/>
      <c r="E18"/>
      <c r="F18"/>
      <c r="G18"/>
      <c r="H18"/>
      <c r="I18"/>
      <c r="J18"/>
      <c r="K18" s="122">
        <v>1</v>
      </c>
      <c r="L18" s="112">
        <v>1</v>
      </c>
    </row>
    <row r="19" spans="2:12">
      <c r="B19" t="s">
        <v>101</v>
      </c>
      <c r="K19" s="123">
        <v>0.5</v>
      </c>
      <c r="L19" s="100">
        <v>1</v>
      </c>
    </row>
    <row r="20" spans="2:12">
      <c r="B20" t="s">
        <v>102</v>
      </c>
      <c r="K20" s="114">
        <v>500</v>
      </c>
      <c r="L20" s="45">
        <v>1500</v>
      </c>
    </row>
    <row r="21" spans="2:12">
      <c r="B21" t="s">
        <v>103</v>
      </c>
      <c r="K21" s="114">
        <v>0</v>
      </c>
      <c r="L21" s="45">
        <v>1000</v>
      </c>
    </row>
    <row r="22" spans="2:12">
      <c r="B22" t="s">
        <v>104</v>
      </c>
      <c r="K22" s="124">
        <v>500</v>
      </c>
      <c r="L22" s="45">
        <v>1000</v>
      </c>
    </row>
    <row r="23" spans="2:12" ht="15" thickBot="1">
      <c r="J23" s="20"/>
      <c r="K23" s="72"/>
      <c r="L23" s="69"/>
    </row>
    <row r="24" spans="2:12" ht="15" thickBot="1">
      <c r="K24" s="164" t="s">
        <v>112</v>
      </c>
      <c r="L24" s="165" t="s">
        <v>114</v>
      </c>
    </row>
    <row r="25" spans="2:12" ht="15" thickBot="1">
      <c r="B25" s="94" t="s">
        <v>62</v>
      </c>
      <c r="K25" s="166" t="s">
        <v>13</v>
      </c>
      <c r="L25" s="167" t="s">
        <v>13</v>
      </c>
    </row>
    <row r="26" spans="2:12" ht="15" thickBot="1">
      <c r="B26" s="2"/>
      <c r="C26" s="2"/>
      <c r="D26" s="2"/>
      <c r="E26" s="2"/>
      <c r="F26" s="2"/>
      <c r="G26" s="2"/>
      <c r="H26" s="2"/>
      <c r="I26" s="2"/>
      <c r="J26" s="2"/>
      <c r="K26" s="73"/>
    </row>
    <row r="27" spans="2:12" ht="15" thickBot="1">
      <c r="B27" s="95" t="s">
        <v>61</v>
      </c>
      <c r="C27" s="2"/>
      <c r="D27" s="2"/>
      <c r="E27" s="2"/>
      <c r="F27" s="2"/>
      <c r="G27" s="2"/>
      <c r="H27" s="2"/>
      <c r="I27" s="2"/>
      <c r="J27" s="2"/>
      <c r="K27" s="74"/>
    </row>
    <row r="28" spans="2:12">
      <c r="B28" s="8" t="s">
        <v>10</v>
      </c>
      <c r="C28" s="8"/>
      <c r="D28" s="8"/>
      <c r="E28" s="8"/>
      <c r="F28" s="8"/>
      <c r="G28" s="8"/>
      <c r="H28" s="8"/>
      <c r="I28" s="8"/>
      <c r="K28" s="140">
        <f>Model!K31</f>
        <v>11652.871049394844</v>
      </c>
      <c r="L28" s="141">
        <f>Model!N31</f>
        <v>78656.879583415182</v>
      </c>
    </row>
    <row r="29" spans="2:12">
      <c r="B29" t="s">
        <v>11</v>
      </c>
      <c r="K29" s="126">
        <f>Model!K33</f>
        <v>3.8510452262842575E-2</v>
      </c>
      <c r="L29" s="142">
        <f>Model!N33</f>
        <v>3.8510452262842582E-2</v>
      </c>
    </row>
    <row r="30" spans="2:12" ht="15" thickBot="1">
      <c r="B30" s="2"/>
      <c r="C30" s="2"/>
      <c r="D30" s="2"/>
      <c r="E30" s="2"/>
      <c r="F30" s="2"/>
      <c r="G30" s="2"/>
      <c r="H30" s="2"/>
      <c r="I30" s="2"/>
      <c r="K30" s="2"/>
      <c r="L30" s="5"/>
    </row>
    <row r="31" spans="2:12" ht="15" thickBot="1">
      <c r="B31" s="96" t="s">
        <v>63</v>
      </c>
      <c r="C31" s="97"/>
      <c r="L31" s="5"/>
    </row>
    <row r="32" spans="2:12">
      <c r="B32" t="s">
        <v>82</v>
      </c>
      <c r="K32" s="125">
        <f>Model!K65</f>
        <v>125005.73329731777</v>
      </c>
      <c r="L32" s="143">
        <f>Model!N65</f>
        <v>3590280.0908719003</v>
      </c>
    </row>
    <row r="33" spans="1:12">
      <c r="B33" t="s">
        <v>64</v>
      </c>
      <c r="K33" s="127">
        <f>Model!K68</f>
        <v>214.54924330224964</v>
      </c>
      <c r="L33" s="144">
        <f>Model!N68</f>
        <v>228.22416232927395</v>
      </c>
    </row>
    <row r="34" spans="1:12" ht="15" thickBot="1"/>
    <row r="35" spans="1:12" ht="15" thickBot="1">
      <c r="B35" s="96" t="s">
        <v>80</v>
      </c>
      <c r="C35" s="98"/>
      <c r="D35" s="98"/>
      <c r="E35" s="98"/>
      <c r="F35" s="98"/>
      <c r="G35" s="97"/>
    </row>
    <row r="36" spans="1:12">
      <c r="B36" t="s">
        <v>76</v>
      </c>
      <c r="C36" s="8"/>
      <c r="D36" s="8"/>
      <c r="E36" s="8"/>
      <c r="F36" s="8"/>
      <c r="G36" s="8"/>
      <c r="H36" s="8"/>
      <c r="K36" s="125">
        <f>Model!K97</f>
        <v>8465.3048111246462</v>
      </c>
      <c r="L36" s="139">
        <f>Model!N97</f>
        <v>96289.963816486881</v>
      </c>
    </row>
    <row r="37" spans="1:12">
      <c r="B37" t="s">
        <v>77</v>
      </c>
      <c r="K37" s="128">
        <f>Model!K100</f>
        <v>4932255.2678928636</v>
      </c>
      <c r="L37" s="145">
        <f>Model!N100</f>
        <v>1514773617.8009627</v>
      </c>
    </row>
    <row r="38" spans="1:12">
      <c r="B38" t="s">
        <v>79</v>
      </c>
      <c r="K38" s="126">
        <f>Model!K103</f>
        <v>2.5344538453039592E-2</v>
      </c>
      <c r="L38" s="142">
        <f>Model!N103</f>
        <v>2.370176010910466E-3</v>
      </c>
    </row>
    <row r="39" spans="1:12">
      <c r="K39" s="69"/>
    </row>
    <row r="40" spans="1:12">
      <c r="B40" s="14"/>
      <c r="C40" s="15"/>
      <c r="D40" s="15"/>
      <c r="G40" s="30"/>
      <c r="K40" s="69"/>
    </row>
    <row r="41" spans="1:12">
      <c r="B41" s="14"/>
      <c r="C41" s="15"/>
      <c r="D41" s="15"/>
      <c r="K41" s="69"/>
    </row>
    <row r="42" spans="1:12">
      <c r="B42" s="2"/>
      <c r="K42" s="75"/>
    </row>
    <row r="43" spans="1:12">
      <c r="K43" s="76"/>
    </row>
    <row r="44" spans="1:12">
      <c r="K44" s="73"/>
    </row>
    <row r="45" spans="1:12">
      <c r="K45" s="77"/>
    </row>
    <row r="46" spans="1:12">
      <c r="A46" s="16"/>
      <c r="K46" s="73"/>
    </row>
    <row r="47" spans="1:12">
      <c r="A47" s="16"/>
      <c r="K47" s="77"/>
    </row>
    <row r="48" spans="1:12">
      <c r="A48" s="16"/>
      <c r="K48" s="78"/>
    </row>
    <row r="49" spans="1:11">
      <c r="A49" s="16"/>
      <c r="K49" s="71"/>
    </row>
    <row r="50" spans="1:11">
      <c r="K50" s="79"/>
    </row>
    <row r="51" spans="1:11">
      <c r="K51" s="77"/>
    </row>
    <row r="52" spans="1:11">
      <c r="K52" s="76"/>
    </row>
    <row r="53" spans="1:11">
      <c r="K53" s="69"/>
    </row>
    <row r="54" spans="1:11">
      <c r="B54" s="14"/>
      <c r="C54" s="15"/>
      <c r="J54" s="70"/>
      <c r="K54" s="80"/>
    </row>
    <row r="55" spans="1:11">
      <c r="K55" s="76"/>
    </row>
    <row r="56" spans="1:11">
      <c r="J56" s="18"/>
      <c r="K56" s="76"/>
    </row>
    <row r="57" spans="1:11">
      <c r="J57" s="18"/>
      <c r="K57" s="81"/>
    </row>
    <row r="58" spans="1:11">
      <c r="J58" s="18"/>
      <c r="K58" s="81"/>
    </row>
    <row r="59" spans="1:11">
      <c r="J59" s="20"/>
      <c r="K59" s="77"/>
    </row>
    <row r="60" spans="1:11">
      <c r="J60" s="19"/>
      <c r="K60" s="76"/>
    </row>
    <row r="61" spans="1:11">
      <c r="A61" s="16"/>
      <c r="K61" s="69"/>
    </row>
    <row r="62" spans="1:11">
      <c r="J62" s="19"/>
      <c r="K62" s="81"/>
    </row>
    <row r="63" spans="1:11">
      <c r="J63" s="19"/>
      <c r="K63" s="81"/>
    </row>
    <row r="64" spans="1:11">
      <c r="K64" s="69"/>
    </row>
    <row r="65" spans="2:15">
      <c r="J65" s="17"/>
      <c r="K65" s="77"/>
    </row>
    <row r="66" spans="2:15">
      <c r="J66" s="17"/>
      <c r="K66" s="77"/>
    </row>
    <row r="67" spans="2:15">
      <c r="K67" s="69"/>
    </row>
    <row r="68" spans="2:15">
      <c r="K68" s="69"/>
    </row>
    <row r="69" spans="2:15">
      <c r="K69" s="69"/>
    </row>
    <row r="70" spans="2:15">
      <c r="K70" s="69"/>
    </row>
    <row r="71" spans="2:15">
      <c r="K71" s="69"/>
    </row>
    <row r="72" spans="2:15">
      <c r="K72" s="69"/>
    </row>
    <row r="73" spans="2:15">
      <c r="K73" s="69"/>
    </row>
    <row r="74" spans="2:15">
      <c r="B74" s="14"/>
      <c r="C74" s="15"/>
      <c r="D74" s="15"/>
      <c r="E74" s="15"/>
      <c r="K74" s="69"/>
      <c r="N74" s="86"/>
      <c r="O74" s="86"/>
    </row>
    <row r="75" spans="2:15">
      <c r="K75" s="69"/>
      <c r="N75" s="69"/>
      <c r="O75" s="75"/>
    </row>
    <row r="76" spans="2:15">
      <c r="B76" s="2"/>
      <c r="K76" s="75"/>
      <c r="N76" s="75"/>
      <c r="O76" s="75"/>
    </row>
    <row r="77" spans="2:15">
      <c r="K77" s="69"/>
      <c r="N77" s="69"/>
      <c r="O77" s="81"/>
    </row>
    <row r="78" spans="2:15">
      <c r="K78" s="76"/>
      <c r="N78" s="69"/>
      <c r="O78" s="71"/>
    </row>
    <row r="79" spans="2:15">
      <c r="K79" s="82"/>
      <c r="N79" s="69"/>
      <c r="O79" s="71"/>
    </row>
    <row r="80" spans="2:15">
      <c r="K80" s="72"/>
      <c r="N80" s="69"/>
      <c r="O80" s="71"/>
    </row>
    <row r="81" spans="2:15">
      <c r="K81" s="69"/>
      <c r="N81" s="69"/>
      <c r="O81" s="71"/>
    </row>
    <row r="82" spans="2:15">
      <c r="K82" s="69"/>
      <c r="N82" s="69"/>
      <c r="O82" s="71"/>
    </row>
    <row r="83" spans="2:15">
      <c r="K83" s="82"/>
      <c r="N83" s="69"/>
      <c r="O83" s="71"/>
    </row>
    <row r="84" spans="2:15">
      <c r="K84" s="71"/>
      <c r="N84" s="69"/>
      <c r="O84" s="71"/>
    </row>
    <row r="85" spans="2:15">
      <c r="K85" s="71"/>
      <c r="N85" s="69"/>
      <c r="O85" s="71"/>
    </row>
    <row r="86" spans="2:15">
      <c r="K86" s="76"/>
      <c r="N86" s="69"/>
      <c r="O86" s="71"/>
    </row>
    <row r="87" spans="2:15">
      <c r="K87" s="72"/>
      <c r="N87" s="69"/>
      <c r="O87" s="71"/>
    </row>
    <row r="88" spans="2:15">
      <c r="K88" s="69"/>
      <c r="N88" s="69"/>
      <c r="O88" s="71"/>
    </row>
    <row r="89" spans="2:15">
      <c r="B89" s="2"/>
      <c r="K89" s="69"/>
      <c r="N89" s="69"/>
      <c r="O89" s="71"/>
    </row>
    <row r="90" spans="2:15">
      <c r="K90" s="76"/>
      <c r="N90" s="69"/>
      <c r="O90" s="71"/>
    </row>
    <row r="91" spans="2:15">
      <c r="K91" s="83"/>
      <c r="N91" s="69"/>
      <c r="O91" s="71"/>
    </row>
    <row r="92" spans="2:15">
      <c r="K92" s="83"/>
      <c r="N92" s="69"/>
      <c r="O92" s="71"/>
    </row>
    <row r="93" spans="2:15">
      <c r="K93" s="76"/>
      <c r="N93" s="69"/>
      <c r="O93" s="71"/>
    </row>
    <row r="94" spans="2:15">
      <c r="K94" s="83"/>
      <c r="N94" s="69"/>
      <c r="O94" s="71"/>
    </row>
    <row r="95" spans="2:15">
      <c r="K95" s="76"/>
      <c r="N95" s="69"/>
      <c r="O95" s="71"/>
    </row>
    <row r="96" spans="2:15">
      <c r="K96" s="83"/>
      <c r="N96" s="69"/>
      <c r="O96" s="71"/>
    </row>
    <row r="97" spans="3:15">
      <c r="C97" s="2"/>
      <c r="D97" s="2"/>
      <c r="E97" s="2"/>
      <c r="F97" s="2"/>
      <c r="K97" s="84"/>
      <c r="N97" s="69"/>
      <c r="O97" s="71"/>
    </row>
    <row r="98" spans="3:15">
      <c r="K98" s="69"/>
      <c r="N98" s="69"/>
      <c r="O98" s="71"/>
    </row>
    <row r="99" spans="3:15">
      <c r="K99" s="73"/>
      <c r="N99" s="69"/>
      <c r="O99" s="71"/>
    </row>
    <row r="100" spans="3:15">
      <c r="C100" s="2"/>
      <c r="D100" s="2"/>
      <c r="E100" s="2"/>
      <c r="F100" s="2"/>
      <c r="G100" s="2"/>
      <c r="H100" s="2"/>
      <c r="K100" s="84"/>
      <c r="N100" s="69"/>
      <c r="O100" s="71"/>
    </row>
    <row r="101" spans="3:15">
      <c r="K101" s="69"/>
      <c r="N101" s="69"/>
      <c r="O101" s="71"/>
    </row>
    <row r="102" spans="3:15">
      <c r="K102" s="81"/>
      <c r="N102" s="69"/>
      <c r="O102" s="71"/>
    </row>
    <row r="103" spans="3:15">
      <c r="C103" s="2"/>
      <c r="K103" s="85"/>
      <c r="N103" s="69"/>
      <c r="O103" s="71"/>
    </row>
    <row r="104" spans="3:15">
      <c r="N104" s="69"/>
      <c r="O104" s="71"/>
    </row>
    <row r="105" spans="3:15">
      <c r="N105" s="69"/>
      <c r="O105" s="71"/>
    </row>
    <row r="106" spans="3:15">
      <c r="N106" s="69"/>
      <c r="O106" s="71"/>
    </row>
    <row r="107" spans="3:15">
      <c r="N107" s="69"/>
      <c r="O107" s="71"/>
    </row>
    <row r="108" spans="3:15">
      <c r="N108" s="69"/>
      <c r="O108" s="71"/>
    </row>
    <row r="109" spans="3:15">
      <c r="N109" s="69"/>
      <c r="O109" s="71"/>
    </row>
    <row r="110" spans="3:15">
      <c r="N110" s="69"/>
      <c r="O110" s="71"/>
    </row>
    <row r="111" spans="3:15">
      <c r="N111" s="69"/>
      <c r="O111" s="71"/>
    </row>
    <row r="112" spans="3:15">
      <c r="N112" s="69"/>
      <c r="O112" s="71"/>
    </row>
    <row r="113" spans="14:15">
      <c r="N113" s="69"/>
      <c r="O113" s="71"/>
    </row>
    <row r="114" spans="14:15">
      <c r="N114" s="69"/>
      <c r="O114" s="71"/>
    </row>
    <row r="115" spans="14:15">
      <c r="N115" s="69"/>
      <c r="O115" s="71"/>
    </row>
    <row r="116" spans="14:15">
      <c r="N116" s="69"/>
      <c r="O116" s="71"/>
    </row>
    <row r="117" spans="14:15">
      <c r="N117" s="69"/>
      <c r="O117" s="71"/>
    </row>
    <row r="118" spans="14:15">
      <c r="N118" s="69"/>
      <c r="O118" s="71"/>
    </row>
    <row r="119" spans="14:15">
      <c r="N119" s="69"/>
      <c r="O119" s="71"/>
    </row>
    <row r="120" spans="14:15">
      <c r="N120" s="69"/>
      <c r="O120" s="71"/>
    </row>
    <row r="121" spans="14:15">
      <c r="N121" s="69"/>
      <c r="O121" s="71"/>
    </row>
    <row r="122" spans="14:15">
      <c r="N122" s="69"/>
      <c r="O122" s="71"/>
    </row>
    <row r="123" spans="14:15">
      <c r="N123" s="69"/>
      <c r="O123" s="71"/>
    </row>
    <row r="124" spans="14:15">
      <c r="N124" s="69"/>
      <c r="O124" s="71"/>
    </row>
    <row r="125" spans="14:15">
      <c r="N125" s="69"/>
      <c r="O125" s="71"/>
    </row>
    <row r="126" spans="14:15">
      <c r="N126" s="69"/>
      <c r="O126" s="71"/>
    </row>
    <row r="127" spans="14:15">
      <c r="O127" s="49"/>
    </row>
    <row r="128" spans="14:15">
      <c r="O128" s="49"/>
    </row>
    <row r="129" spans="15:15">
      <c r="O129" s="49"/>
    </row>
    <row r="130" spans="15:15">
      <c r="O130" s="49"/>
    </row>
    <row r="131" spans="15:15">
      <c r="O131" s="49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S104"/>
  <sheetViews>
    <sheetView workbookViewId="0">
      <selection activeCell="R11" sqref="R11"/>
    </sheetView>
  </sheetViews>
  <sheetFormatPr defaultRowHeight="14.4"/>
  <cols>
    <col min="8" max="8" width="12.109375" customWidth="1"/>
    <col min="9" max="9" width="13.6640625" customWidth="1"/>
    <col min="10" max="10" width="9.5546875" bestFit="1" customWidth="1"/>
    <col min="11" max="11" width="13.5546875" bestFit="1" customWidth="1"/>
    <col min="13" max="13" width="9.5546875" customWidth="1"/>
    <col min="14" max="14" width="18.77734375" bestFit="1" customWidth="1"/>
    <col min="15" max="15" width="8.88671875" customWidth="1"/>
    <col min="18" max="18" width="11.88671875" bestFit="1" customWidth="1"/>
    <col min="19" max="19" width="9.5546875" customWidth="1"/>
  </cols>
  <sheetData>
    <row r="1" spans="2:15" ht="15" thickBot="1"/>
    <row r="2" spans="2:15" ht="15" thickBot="1">
      <c r="B2" s="13"/>
      <c r="F2" s="146" t="s">
        <v>57</v>
      </c>
      <c r="G2" s="147"/>
      <c r="H2" s="147"/>
      <c r="I2" s="148"/>
      <c r="J2" s="147"/>
      <c r="K2" s="148"/>
      <c r="L2" s="147"/>
      <c r="M2" s="148"/>
    </row>
    <row r="3" spans="2:15" ht="15" thickBot="1"/>
    <row r="4" spans="2:15" ht="15" thickBot="1">
      <c r="B4" s="96" t="s">
        <v>12</v>
      </c>
      <c r="C4" s="97"/>
      <c r="K4" s="152" t="s">
        <v>115</v>
      </c>
      <c r="L4" s="153"/>
      <c r="N4" s="169" t="s">
        <v>117</v>
      </c>
      <c r="O4" s="170"/>
    </row>
    <row r="5" spans="2:15" ht="15" thickBot="1">
      <c r="K5" s="154"/>
      <c r="L5" s="155" t="s">
        <v>14</v>
      </c>
      <c r="N5" s="154" t="s">
        <v>116</v>
      </c>
      <c r="O5" s="155" t="s">
        <v>14</v>
      </c>
    </row>
    <row r="6" spans="2:15" ht="15" thickBot="1">
      <c r="B6" s="2" t="s">
        <v>5</v>
      </c>
      <c r="H6" s="151" t="s">
        <v>41</v>
      </c>
      <c r="K6" s="156" t="s">
        <v>13</v>
      </c>
      <c r="L6" s="157" t="s">
        <v>15</v>
      </c>
      <c r="N6" s="156" t="s">
        <v>13</v>
      </c>
      <c r="O6" s="157" t="s">
        <v>87</v>
      </c>
    </row>
    <row r="7" spans="2:15">
      <c r="B7" t="s">
        <v>52</v>
      </c>
      <c r="C7" s="8"/>
      <c r="D7" s="8"/>
      <c r="H7" s="32" t="s">
        <v>40</v>
      </c>
      <c r="K7" s="11">
        <v>104993000</v>
      </c>
      <c r="L7" s="9"/>
      <c r="N7" s="4">
        <f>K7</f>
        <v>104993000</v>
      </c>
    </row>
    <row r="8" spans="2:15">
      <c r="B8" t="s">
        <v>51</v>
      </c>
      <c r="H8" s="33" t="s">
        <v>37</v>
      </c>
      <c r="K8" s="10">
        <v>0.55900000000000005</v>
      </c>
      <c r="L8" s="7"/>
      <c r="N8" s="1">
        <f>K8</f>
        <v>0.55900000000000005</v>
      </c>
    </row>
    <row r="9" spans="2:15">
      <c r="B9" t="s">
        <v>16</v>
      </c>
      <c r="H9" s="34" t="s">
        <v>38</v>
      </c>
      <c r="K9" s="60">
        <f>K7*K8</f>
        <v>58691087.000000007</v>
      </c>
      <c r="L9" s="7"/>
      <c r="N9" s="99">
        <f>N7*N8</f>
        <v>58691087.000000007</v>
      </c>
    </row>
    <row r="10" spans="2:15" ht="15" thickBot="1">
      <c r="B10" t="s">
        <v>17</v>
      </c>
      <c r="H10" s="35" t="s">
        <v>39</v>
      </c>
      <c r="K10" s="38">
        <f>K7-K9</f>
        <v>46301912.999999993</v>
      </c>
      <c r="N10" s="29">
        <f>N7-N9</f>
        <v>46301912.999999993</v>
      </c>
    </row>
    <row r="11" spans="2:15">
      <c r="B11" t="s">
        <v>18</v>
      </c>
      <c r="K11" s="26">
        <f>0.5*K9</f>
        <v>29345543.500000004</v>
      </c>
      <c r="N11" s="29">
        <f>0.5*N9</f>
        <v>29345543.500000004</v>
      </c>
    </row>
    <row r="12" spans="2:15">
      <c r="B12" t="s">
        <v>19</v>
      </c>
      <c r="K12" s="26">
        <f>K10+K11</f>
        <v>75647456.5</v>
      </c>
      <c r="N12" s="29">
        <f>N10+N11</f>
        <v>75647456.5</v>
      </c>
    </row>
    <row r="13" spans="2:15">
      <c r="B13" t="s">
        <v>93</v>
      </c>
      <c r="K13" s="37">
        <v>0.1</v>
      </c>
      <c r="N13" s="46">
        <v>0.15</v>
      </c>
    </row>
    <row r="14" spans="2:15">
      <c r="B14" t="s">
        <v>20</v>
      </c>
      <c r="K14" s="26">
        <f>K12*K13</f>
        <v>7564745.6500000004</v>
      </c>
      <c r="N14" s="29">
        <f>N12*N13</f>
        <v>11347118.475</v>
      </c>
    </row>
    <row r="15" spans="2:15">
      <c r="B15" t="s">
        <v>111</v>
      </c>
      <c r="K15" s="36">
        <v>0.4</v>
      </c>
      <c r="M15" s="2"/>
      <c r="N15" s="100">
        <v>0.6</v>
      </c>
      <c r="O15" s="2"/>
    </row>
    <row r="16" spans="2:15">
      <c r="B16" t="s">
        <v>59</v>
      </c>
      <c r="K16" s="26">
        <f>K15*K14</f>
        <v>3025898.2600000002</v>
      </c>
      <c r="M16" s="2"/>
      <c r="N16" s="101">
        <f>N15*N14</f>
        <v>6808271.085</v>
      </c>
      <c r="O16" s="2"/>
    </row>
    <row r="17" spans="2:15">
      <c r="B17" s="2" t="s">
        <v>21</v>
      </c>
      <c r="C17" s="2"/>
      <c r="D17" s="2"/>
      <c r="E17" s="2"/>
      <c r="F17" s="2"/>
      <c r="G17" s="2"/>
      <c r="H17" s="2"/>
      <c r="I17" s="2"/>
      <c r="J17" s="2"/>
      <c r="K17" s="12"/>
      <c r="L17" s="2"/>
      <c r="M17" s="2"/>
      <c r="N17" s="102"/>
      <c r="O17" s="2"/>
    </row>
    <row r="18" spans="2:15">
      <c r="B18" t="s">
        <v>94</v>
      </c>
      <c r="C18" s="2"/>
      <c r="D18" s="2"/>
      <c r="E18" s="2"/>
      <c r="F18" s="2"/>
      <c r="G18" s="2"/>
      <c r="H18" s="2"/>
      <c r="I18" s="2"/>
      <c r="J18" s="2"/>
      <c r="K18" s="59">
        <f>InputsResults!K5</f>
        <v>0.1</v>
      </c>
      <c r="L18" s="2"/>
      <c r="M18" s="2"/>
      <c r="N18" s="100">
        <f>InputsResults!L5</f>
        <v>0.3</v>
      </c>
      <c r="O18" s="2"/>
    </row>
    <row r="19" spans="2:15">
      <c r="B19" t="s">
        <v>54</v>
      </c>
      <c r="C19" s="2"/>
      <c r="D19" s="2"/>
      <c r="E19" s="2"/>
      <c r="F19" s="2"/>
      <c r="G19" s="2"/>
      <c r="H19" s="2"/>
      <c r="I19" s="2"/>
      <c r="J19" s="2"/>
      <c r="K19" s="31">
        <f>K18*K16</f>
        <v>302589.82600000006</v>
      </c>
      <c r="L19" s="2"/>
      <c r="N19" s="29">
        <f>N18*N16</f>
        <v>2042481.3254999998</v>
      </c>
    </row>
    <row r="20" spans="2:15">
      <c r="B20" s="2" t="s">
        <v>90</v>
      </c>
      <c r="C20" s="2"/>
      <c r="D20" s="2"/>
      <c r="E20" s="2"/>
      <c r="F20" s="2"/>
      <c r="G20" s="2"/>
      <c r="H20" s="2"/>
      <c r="I20" s="2"/>
      <c r="J20" s="2"/>
      <c r="K20" s="3"/>
      <c r="L20" s="2"/>
    </row>
    <row r="21" spans="2:15">
      <c r="B21" t="s">
        <v>0</v>
      </c>
      <c r="K21" s="1">
        <v>0.56100000000000005</v>
      </c>
      <c r="N21" s="1">
        <f>K21</f>
        <v>0.56100000000000005</v>
      </c>
    </row>
    <row r="22" spans="2:15">
      <c r="B22" t="s">
        <v>1</v>
      </c>
      <c r="K22" s="1">
        <v>0.67400000000000004</v>
      </c>
      <c r="L22" s="39">
        <f>K21*K22</f>
        <v>0.37811400000000006</v>
      </c>
      <c r="N22" s="1">
        <f>K22</f>
        <v>0.67400000000000004</v>
      </c>
      <c r="O22" s="39">
        <f>N21*N22</f>
        <v>0.37811400000000006</v>
      </c>
    </row>
    <row r="23" spans="2:15">
      <c r="B23" t="s">
        <v>2</v>
      </c>
      <c r="K23" s="1">
        <v>0.32500000000000001</v>
      </c>
      <c r="N23" s="1">
        <f>K23</f>
        <v>0.32500000000000001</v>
      </c>
    </row>
    <row r="24" spans="2:15">
      <c r="B24" t="s">
        <v>3</v>
      </c>
      <c r="K24" s="1">
        <v>0.51800000000000002</v>
      </c>
      <c r="L24" s="40">
        <f>K24*L22</f>
        <v>0.19586305200000004</v>
      </c>
      <c r="N24" s="1">
        <f>K24</f>
        <v>0.51800000000000002</v>
      </c>
      <c r="O24" s="39">
        <f>N24*O22</f>
        <v>0.19586305200000004</v>
      </c>
    </row>
    <row r="25" spans="2:15">
      <c r="B25" t="s">
        <v>4</v>
      </c>
      <c r="K25" s="1">
        <v>0.52</v>
      </c>
      <c r="L25" s="40">
        <f>L24*K25</f>
        <v>0.10184878704000003</v>
      </c>
      <c r="N25" s="1">
        <f>K25</f>
        <v>0.52</v>
      </c>
      <c r="O25" s="39">
        <f>O24*N25</f>
        <v>0.10184878704000003</v>
      </c>
    </row>
    <row r="26" spans="2:15">
      <c r="B26" s="2" t="s">
        <v>6</v>
      </c>
      <c r="N26" s="103"/>
    </row>
    <row r="27" spans="2:15">
      <c r="B27" t="s">
        <v>7</v>
      </c>
      <c r="K27" s="29">
        <f>K19*K21</f>
        <v>169752.89238600005</v>
      </c>
      <c r="N27" s="29">
        <f>N19*N21</f>
        <v>1145832.0236055001</v>
      </c>
    </row>
    <row r="28" spans="2:15">
      <c r="B28" t="s">
        <v>91</v>
      </c>
      <c r="K28" s="29">
        <f>K27*K22</f>
        <v>114413.44946816404</v>
      </c>
      <c r="L28" s="1">
        <f>L22</f>
        <v>0.37811400000000006</v>
      </c>
      <c r="N28" s="29">
        <f>N27*N22</f>
        <v>772290.7839101071</v>
      </c>
      <c r="O28" s="1">
        <f>O22</f>
        <v>0.37811400000000006</v>
      </c>
    </row>
    <row r="29" spans="2:15">
      <c r="B29" t="s">
        <v>8</v>
      </c>
      <c r="K29" s="29">
        <f>K28*K23</f>
        <v>37184.371077153315</v>
      </c>
      <c r="N29" s="29">
        <f>N28*N23</f>
        <v>250994.50477078481</v>
      </c>
    </row>
    <row r="30" spans="2:15" ht="15" thickBot="1">
      <c r="B30" t="s">
        <v>9</v>
      </c>
      <c r="K30" s="66">
        <f>K28*K24</f>
        <v>59266.166824508975</v>
      </c>
      <c r="L30" s="5">
        <v>0.19586305200000004</v>
      </c>
      <c r="N30" s="66">
        <f>N28*N24</f>
        <v>400046.62606543547</v>
      </c>
      <c r="O30" s="1">
        <f>L30</f>
        <v>0.19586305200000004</v>
      </c>
    </row>
    <row r="31" spans="2:15" ht="15" thickBot="1">
      <c r="B31" s="2" t="s">
        <v>10</v>
      </c>
      <c r="C31" s="2"/>
      <c r="D31" s="2"/>
      <c r="E31" s="2"/>
      <c r="F31" s="2"/>
      <c r="G31" s="2"/>
      <c r="H31" s="2"/>
      <c r="I31" s="2"/>
      <c r="J31" s="2"/>
      <c r="K31" s="67">
        <f>L25*K28</f>
        <v>11652.871049394844</v>
      </c>
      <c r="L31" s="5">
        <v>0.10184878704000003</v>
      </c>
      <c r="N31" s="67">
        <f>O25*N28</f>
        <v>78656.879583415182</v>
      </c>
      <c r="O31" s="1">
        <f>L31</f>
        <v>0.10184878704000003</v>
      </c>
    </row>
    <row r="32" spans="2:15" ht="15" thickBot="1">
      <c r="B32" s="2" t="s">
        <v>12</v>
      </c>
      <c r="K32" s="4"/>
      <c r="L32" s="5"/>
    </row>
    <row r="33" spans="2:14" ht="15" thickBot="1">
      <c r="B33" t="s">
        <v>11</v>
      </c>
      <c r="K33" s="6">
        <f>K31/K19</f>
        <v>3.8510452262842575E-2</v>
      </c>
      <c r="N33" s="104">
        <f>N31/N19</f>
        <v>3.8510452262842582E-2</v>
      </c>
    </row>
    <row r="34" spans="2:14">
      <c r="K34" s="23"/>
    </row>
    <row r="35" spans="2:14">
      <c r="B35" t="s">
        <v>60</v>
      </c>
      <c r="K35" s="23"/>
    </row>
    <row r="36" spans="2:14">
      <c r="B36" t="s">
        <v>88</v>
      </c>
      <c r="K36" s="23"/>
    </row>
    <row r="37" spans="2:14">
      <c r="B37" t="s">
        <v>89</v>
      </c>
      <c r="K37" s="23"/>
    </row>
    <row r="38" spans="2:14">
      <c r="B38" t="s">
        <v>53</v>
      </c>
      <c r="K38" s="23"/>
    </row>
    <row r="39" spans="2:14">
      <c r="K39" s="23"/>
    </row>
    <row r="40" spans="2:14">
      <c r="K40" s="23"/>
    </row>
    <row r="41" spans="2:14">
      <c r="K41" s="23"/>
    </row>
    <row r="42" spans="2:14" ht="15" thickBot="1"/>
    <row r="43" spans="2:14" ht="15" thickBot="1">
      <c r="B43" s="96" t="s">
        <v>29</v>
      </c>
      <c r="C43" s="98"/>
      <c r="D43" s="97"/>
      <c r="G43" s="30"/>
    </row>
    <row r="44" spans="2:14">
      <c r="B44" s="14"/>
      <c r="C44" s="15"/>
      <c r="D44" s="15"/>
      <c r="K44" s="158" t="s">
        <v>112</v>
      </c>
      <c r="N44" s="158" t="s">
        <v>114</v>
      </c>
    </row>
    <row r="45" spans="2:14" ht="15" thickBot="1">
      <c r="B45" s="2" t="s">
        <v>5</v>
      </c>
      <c r="K45" s="159" t="s">
        <v>13</v>
      </c>
      <c r="N45" s="159" t="s">
        <v>13</v>
      </c>
    </row>
    <row r="46" spans="2:14">
      <c r="B46" t="s">
        <v>22</v>
      </c>
      <c r="K46" s="24">
        <f>InputsResults!K6</f>
        <v>25000</v>
      </c>
      <c r="N46" s="105">
        <f>InputsResults!L6</f>
        <v>50000</v>
      </c>
    </row>
    <row r="47" spans="2:14">
      <c r="B47" t="s">
        <v>105</v>
      </c>
      <c r="K47" s="29">
        <f>K27</f>
        <v>169752.89238600005</v>
      </c>
      <c r="N47" s="29">
        <f>N27</f>
        <v>1145832.0236055001</v>
      </c>
    </row>
    <row r="48" spans="2:14">
      <c r="B48" t="s">
        <v>92</v>
      </c>
      <c r="K48" s="28">
        <f>InputsResults!K7</f>
        <v>0.1</v>
      </c>
      <c r="N48" s="28">
        <f>InputsResults!L7</f>
        <v>0.99</v>
      </c>
    </row>
    <row r="49" spans="2:19">
      <c r="B49" t="s">
        <v>36</v>
      </c>
      <c r="K49" s="29">
        <f>K31</f>
        <v>11652.871049394844</v>
      </c>
      <c r="N49" s="106">
        <f>N31</f>
        <v>78656.879583415182</v>
      </c>
    </row>
    <row r="50" spans="2:19" ht="15" thickBot="1">
      <c r="B50" t="s">
        <v>30</v>
      </c>
      <c r="K50" s="28">
        <f>InputsResults!K8</f>
        <v>5</v>
      </c>
      <c r="N50" s="89">
        <f>InputsResults!L8</f>
        <v>10</v>
      </c>
    </row>
    <row r="51" spans="2:19" ht="15" thickBot="1">
      <c r="B51" t="s">
        <v>96</v>
      </c>
      <c r="K51" s="27">
        <f>InputsResults!K9</f>
        <v>0.05</v>
      </c>
      <c r="N51" s="46">
        <f>InputsResults!L9</f>
        <v>0.2</v>
      </c>
      <c r="Q51" s="96" t="s">
        <v>86</v>
      </c>
      <c r="R51" s="160"/>
      <c r="S51" s="97"/>
    </row>
    <row r="52" spans="2:19">
      <c r="B52" t="s">
        <v>33</v>
      </c>
      <c r="K52" s="26">
        <f>K51*K49</f>
        <v>582.64355246974219</v>
      </c>
      <c r="N52" s="29">
        <f>N51*N49</f>
        <v>15731.375916683037</v>
      </c>
      <c r="Q52" s="161"/>
      <c r="R52" s="158" t="s">
        <v>112</v>
      </c>
      <c r="S52" s="155" t="s">
        <v>114</v>
      </c>
    </row>
    <row r="53" spans="2:19" ht="15" thickBot="1">
      <c r="B53" t="s">
        <v>97</v>
      </c>
      <c r="K53" s="168">
        <f>InputsResults!K10</f>
        <v>25</v>
      </c>
      <c r="N53" s="45">
        <f>InputsResults!L10</f>
        <v>100</v>
      </c>
      <c r="Q53" s="162" t="s">
        <v>44</v>
      </c>
      <c r="R53" s="159" t="s">
        <v>13</v>
      </c>
      <c r="S53" s="163" t="s">
        <v>13</v>
      </c>
    </row>
    <row r="54" spans="2:19">
      <c r="B54" t="s">
        <v>85</v>
      </c>
      <c r="K54" s="25">
        <f>InputsResults!K11</f>
        <v>0</v>
      </c>
      <c r="N54" s="45">
        <f>InputsResults!L11</f>
        <v>3000</v>
      </c>
      <c r="Q54" s="55">
        <v>1</v>
      </c>
      <c r="R54" s="53">
        <f>K78*(1+K79)</f>
        <v>105000</v>
      </c>
      <c r="S54" s="130">
        <f>N78*(1+N79)</f>
        <v>210000</v>
      </c>
    </row>
    <row r="55" spans="2:19">
      <c r="B55" t="s">
        <v>108</v>
      </c>
      <c r="K55" s="45">
        <f>InputsResults!K12</f>
        <v>850</v>
      </c>
      <c r="N55" s="45">
        <f>InputsResults!L12</f>
        <v>850</v>
      </c>
      <c r="Q55" s="56">
        <f>Q54+1</f>
        <v>2</v>
      </c>
      <c r="R55" s="54">
        <f>IF(Q55&gt;$K$81,0,R54*(1+$K$79))</f>
        <v>110250</v>
      </c>
      <c r="S55" s="131">
        <f>IF(Q55&gt;$N$81,0,S54*(1+$N$79))</f>
        <v>220500</v>
      </c>
    </row>
    <row r="56" spans="2:19">
      <c r="Q56" s="56">
        <f t="shared" ref="Q56:Q103" si="0">Q55+1</f>
        <v>3</v>
      </c>
      <c r="R56" s="54">
        <f t="shared" ref="R56:R103" si="1">IF(Q56&gt;$K$81,0,R55*(1+$K$79))</f>
        <v>115762.5</v>
      </c>
      <c r="S56" s="131">
        <f t="shared" ref="S56:S103" si="2">IF(Q56&gt;$N$81,0,S55*(1+$N$79))</f>
        <v>231525</v>
      </c>
    </row>
    <row r="57" spans="2:19">
      <c r="B57" s="14" t="s">
        <v>31</v>
      </c>
      <c r="C57" s="15"/>
      <c r="J57" s="21" t="s">
        <v>23</v>
      </c>
      <c r="K57" s="21" t="s">
        <v>24</v>
      </c>
      <c r="M57" s="21" t="s">
        <v>23</v>
      </c>
      <c r="N57" s="21" t="s">
        <v>24</v>
      </c>
      <c r="Q57" s="56">
        <f t="shared" si="0"/>
        <v>4</v>
      </c>
      <c r="R57" s="54">
        <f t="shared" si="1"/>
        <v>121550.625</v>
      </c>
      <c r="S57" s="131">
        <f t="shared" si="2"/>
        <v>243101.25</v>
      </c>
    </row>
    <row r="58" spans="2:19">
      <c r="B58" t="s">
        <v>106</v>
      </c>
      <c r="K58" s="41">
        <f>K46</f>
        <v>25000</v>
      </c>
      <c r="N58" s="61">
        <f>N46</f>
        <v>50000</v>
      </c>
      <c r="Q58" s="56">
        <f t="shared" si="0"/>
        <v>5</v>
      </c>
      <c r="R58" s="54">
        <f t="shared" si="1"/>
        <v>127628.15625</v>
      </c>
      <c r="S58" s="131">
        <f t="shared" si="2"/>
        <v>255256.3125</v>
      </c>
    </row>
    <row r="59" spans="2:19">
      <c r="B59" t="s">
        <v>25</v>
      </c>
      <c r="J59" s="18">
        <f>(K48*K47)/12</f>
        <v>1414.6074365500006</v>
      </c>
      <c r="K59" s="61">
        <f>12*J59</f>
        <v>16975.289238600006</v>
      </c>
      <c r="M59" s="18">
        <f>(N48*N47)/12</f>
        <v>94531.141947453769</v>
      </c>
      <c r="N59" s="43">
        <f>12*M59</f>
        <v>1134373.7033694452</v>
      </c>
      <c r="Q59" s="56">
        <f t="shared" si="0"/>
        <v>6</v>
      </c>
      <c r="R59" s="54">
        <f t="shared" si="1"/>
        <v>134009.56406249999</v>
      </c>
      <c r="S59" s="131">
        <f t="shared" si="2"/>
        <v>268019.12812499999</v>
      </c>
    </row>
    <row r="60" spans="2:19">
      <c r="B60" t="s">
        <v>32</v>
      </c>
      <c r="J60" s="18">
        <f>(K50*K49)/12</f>
        <v>4855.3629372478517</v>
      </c>
      <c r="K60" s="43">
        <f>12*J60</f>
        <v>58264.355246974221</v>
      </c>
      <c r="M60" s="18">
        <f>(N50*N49)/12</f>
        <v>65547.399652845983</v>
      </c>
      <c r="N60" s="43">
        <f>12*M60</f>
        <v>786568.7958341518</v>
      </c>
      <c r="Q60" s="56">
        <f t="shared" si="0"/>
        <v>7</v>
      </c>
      <c r="R60" s="54">
        <f t="shared" si="1"/>
        <v>140710.042265625</v>
      </c>
      <c r="S60" s="131">
        <f t="shared" si="2"/>
        <v>281420.08453125</v>
      </c>
    </row>
    <row r="61" spans="2:19">
      <c r="B61" t="s">
        <v>34</v>
      </c>
      <c r="J61" s="18">
        <f>(K53*K52)/12</f>
        <v>1213.8407343119629</v>
      </c>
      <c r="K61" s="43">
        <f>12*J61</f>
        <v>14566.088811743555</v>
      </c>
      <c r="M61" s="18">
        <f>(N53*N52)/12</f>
        <v>131094.79930569197</v>
      </c>
      <c r="N61" s="43">
        <f>12*M61</f>
        <v>1573137.5916683036</v>
      </c>
      <c r="Q61" s="56">
        <f t="shared" si="0"/>
        <v>8</v>
      </c>
      <c r="R61" s="54">
        <f t="shared" si="1"/>
        <v>147745.54437890626</v>
      </c>
      <c r="S61" s="131">
        <f t="shared" si="2"/>
        <v>295491.08875781251</v>
      </c>
    </row>
    <row r="62" spans="2:19">
      <c r="B62" t="s">
        <v>107</v>
      </c>
      <c r="J62" s="20">
        <f>K54</f>
        <v>0</v>
      </c>
      <c r="K62" s="42">
        <f>12*J62</f>
        <v>0</v>
      </c>
      <c r="M62" s="19">
        <f>N54</f>
        <v>3000</v>
      </c>
      <c r="N62" s="43">
        <f>12*M62</f>
        <v>36000</v>
      </c>
      <c r="Q62" s="56">
        <f t="shared" si="0"/>
        <v>9</v>
      </c>
      <c r="R62" s="54">
        <f t="shared" si="1"/>
        <v>155132.82159785158</v>
      </c>
      <c r="S62" s="131">
        <f t="shared" si="2"/>
        <v>310265.64319570316</v>
      </c>
    </row>
    <row r="63" spans="2:19">
      <c r="B63" t="s">
        <v>26</v>
      </c>
      <c r="J63" s="19">
        <f>K55</f>
        <v>850</v>
      </c>
      <c r="K63" s="61">
        <f>12*J63</f>
        <v>10200</v>
      </c>
      <c r="M63" s="19">
        <f>N55</f>
        <v>850</v>
      </c>
      <c r="N63" s="43">
        <f>12*M63</f>
        <v>10200</v>
      </c>
      <c r="Q63" s="56">
        <f t="shared" si="0"/>
        <v>10</v>
      </c>
      <c r="R63" s="54">
        <f t="shared" si="1"/>
        <v>162889.46267774416</v>
      </c>
      <c r="S63" s="131">
        <f t="shared" si="2"/>
        <v>325778.92535548832</v>
      </c>
    </row>
    <row r="64" spans="2:19">
      <c r="B64" t="s">
        <v>83</v>
      </c>
      <c r="Q64" s="56">
        <f t="shared" si="0"/>
        <v>11</v>
      </c>
      <c r="R64" s="54">
        <f t="shared" si="1"/>
        <v>0</v>
      </c>
      <c r="S64" s="131">
        <f t="shared" si="2"/>
        <v>342067.87162326276</v>
      </c>
    </row>
    <row r="65" spans="2:19">
      <c r="C65" t="s">
        <v>84</v>
      </c>
      <c r="J65" s="19">
        <f>SUM(J59:J63)</f>
        <v>8333.8111081098159</v>
      </c>
      <c r="K65" s="58">
        <f>SUM(K58:K63)</f>
        <v>125005.73329731777</v>
      </c>
      <c r="M65" s="19">
        <f>SUM(M59:M63)</f>
        <v>295023.34090599173</v>
      </c>
      <c r="N65" s="58">
        <f>SUM(N58:N63)</f>
        <v>3590280.0908719003</v>
      </c>
      <c r="Q65" s="56">
        <f t="shared" si="0"/>
        <v>12</v>
      </c>
      <c r="R65" s="54">
        <f t="shared" si="1"/>
        <v>0</v>
      </c>
      <c r="S65" s="131">
        <f t="shared" si="2"/>
        <v>359171.2652044259</v>
      </c>
    </row>
    <row r="66" spans="2:19">
      <c r="C66" t="s">
        <v>28</v>
      </c>
      <c r="J66" s="19">
        <f>SUM(J59:J63)</f>
        <v>8333.8111081098159</v>
      </c>
      <c r="K66" s="43">
        <f>SUM(K59:K63)</f>
        <v>100005.73329731778</v>
      </c>
      <c r="M66" s="19">
        <f>SUM(M59:M63)</f>
        <v>295023.34090599173</v>
      </c>
      <c r="N66" s="43">
        <f>SUM(N59:N63)</f>
        <v>3540280.0908719003</v>
      </c>
      <c r="Q66" s="56">
        <f t="shared" si="0"/>
        <v>13</v>
      </c>
      <c r="R66" s="54">
        <f t="shared" si="1"/>
        <v>0</v>
      </c>
      <c r="S66" s="131">
        <f t="shared" si="2"/>
        <v>377129.82846464723</v>
      </c>
    </row>
    <row r="67" spans="2:19" ht="15" thickBot="1">
      <c r="B67" t="s">
        <v>35</v>
      </c>
      <c r="Q67" s="56">
        <f t="shared" si="0"/>
        <v>14</v>
      </c>
      <c r="R67" s="54">
        <f t="shared" si="1"/>
        <v>0</v>
      </c>
      <c r="S67" s="131">
        <f t="shared" si="2"/>
        <v>395986.3198878796</v>
      </c>
    </row>
    <row r="68" spans="2:19" ht="15" thickBot="1">
      <c r="C68" t="s">
        <v>27</v>
      </c>
      <c r="J68" s="17">
        <f>J65/K52</f>
        <v>14.303446889241268</v>
      </c>
      <c r="K68" s="22">
        <f>K65/K52</f>
        <v>214.54924330224964</v>
      </c>
      <c r="M68" s="17">
        <f>M65/N52</f>
        <v>18.753816733418791</v>
      </c>
      <c r="N68" s="22">
        <f>N65/N52</f>
        <v>228.22416232927395</v>
      </c>
      <c r="Q68" s="56">
        <f t="shared" si="0"/>
        <v>15</v>
      </c>
      <c r="R68" s="54">
        <f t="shared" si="1"/>
        <v>0</v>
      </c>
      <c r="S68" s="131">
        <f t="shared" si="2"/>
        <v>415785.63588227361</v>
      </c>
    </row>
    <row r="69" spans="2:19">
      <c r="C69" t="s">
        <v>28</v>
      </c>
      <c r="J69" s="17">
        <f>J66/K52</f>
        <v>14.303446889241268</v>
      </c>
      <c r="K69" s="149">
        <f>K66/K52</f>
        <v>171.64136267089521</v>
      </c>
      <c r="M69" s="107">
        <f>M66/N52</f>
        <v>18.753816733418791</v>
      </c>
      <c r="N69" s="150">
        <f>N66/N52</f>
        <v>225.04580080102548</v>
      </c>
      <c r="Q69" s="56">
        <f t="shared" si="0"/>
        <v>16</v>
      </c>
      <c r="R69" s="54">
        <f t="shared" si="1"/>
        <v>0</v>
      </c>
      <c r="S69" s="131">
        <f t="shared" si="2"/>
        <v>436574.9176763873</v>
      </c>
    </row>
    <row r="70" spans="2:19">
      <c r="Q70" s="56">
        <f t="shared" si="0"/>
        <v>17</v>
      </c>
      <c r="R70" s="54">
        <f t="shared" si="1"/>
        <v>0</v>
      </c>
      <c r="S70" s="131">
        <f t="shared" si="2"/>
        <v>458403.66356020665</v>
      </c>
    </row>
    <row r="71" spans="2:19">
      <c r="Q71" s="56">
        <f t="shared" si="0"/>
        <v>18</v>
      </c>
      <c r="R71" s="54">
        <f t="shared" si="1"/>
        <v>0</v>
      </c>
      <c r="S71" s="131">
        <f t="shared" si="2"/>
        <v>481323.84673821699</v>
      </c>
    </row>
    <row r="72" spans="2:19">
      <c r="Q72" s="56">
        <f t="shared" si="0"/>
        <v>19</v>
      </c>
      <c r="R72" s="54">
        <f t="shared" si="1"/>
        <v>0</v>
      </c>
      <c r="S72" s="131">
        <f t="shared" si="2"/>
        <v>505390.03907512786</v>
      </c>
    </row>
    <row r="73" spans="2:19" ht="15" thickBot="1">
      <c r="Q73" s="56">
        <f t="shared" si="0"/>
        <v>20</v>
      </c>
      <c r="R73" s="54">
        <f t="shared" si="1"/>
        <v>0</v>
      </c>
      <c r="S73" s="131">
        <f t="shared" si="2"/>
        <v>530659.54102888424</v>
      </c>
    </row>
    <row r="74" spans="2:19" ht="15" thickBot="1">
      <c r="B74" s="96" t="s">
        <v>42</v>
      </c>
      <c r="C74" s="98"/>
      <c r="D74" s="98"/>
      <c r="E74" s="97"/>
      <c r="Q74" s="56">
        <f t="shared" si="0"/>
        <v>21</v>
      </c>
      <c r="R74" s="54">
        <f t="shared" si="1"/>
        <v>0</v>
      </c>
      <c r="S74" s="131">
        <f t="shared" si="2"/>
        <v>0</v>
      </c>
    </row>
    <row r="75" spans="2:19">
      <c r="K75" s="158" t="s">
        <v>112</v>
      </c>
      <c r="N75" s="158" t="s">
        <v>114</v>
      </c>
      <c r="Q75" s="56">
        <f t="shared" si="0"/>
        <v>22</v>
      </c>
      <c r="R75" s="54">
        <f t="shared" si="1"/>
        <v>0</v>
      </c>
      <c r="S75" s="131">
        <f t="shared" si="2"/>
        <v>0</v>
      </c>
    </row>
    <row r="76" spans="2:19" ht="15" thickBot="1">
      <c r="B76" s="2" t="s">
        <v>5</v>
      </c>
      <c r="K76" s="159" t="s">
        <v>13</v>
      </c>
      <c r="N76" s="159" t="s">
        <v>13</v>
      </c>
      <c r="Q76" s="56">
        <f t="shared" si="0"/>
        <v>23</v>
      </c>
      <c r="R76" s="54">
        <f t="shared" si="1"/>
        <v>0</v>
      </c>
      <c r="S76" s="131">
        <f t="shared" si="2"/>
        <v>0</v>
      </c>
    </row>
    <row r="77" spans="2:19">
      <c r="B77" t="s">
        <v>66</v>
      </c>
      <c r="K77" s="87">
        <f>InputsResults!K13</f>
        <v>50</v>
      </c>
      <c r="N77" s="133">
        <f>InputsResults!L13</f>
        <v>35</v>
      </c>
      <c r="Q77" s="56">
        <f t="shared" si="0"/>
        <v>24</v>
      </c>
      <c r="R77" s="54">
        <f t="shared" si="1"/>
        <v>0</v>
      </c>
      <c r="S77" s="131">
        <f t="shared" si="2"/>
        <v>0</v>
      </c>
    </row>
    <row r="78" spans="2:19">
      <c r="B78" t="s">
        <v>67</v>
      </c>
      <c r="K78" s="45">
        <f>InputsResults!K14</f>
        <v>100000</v>
      </c>
      <c r="N78" s="45">
        <f>InputsResults!L14</f>
        <v>200000</v>
      </c>
      <c r="Q78" s="56">
        <f t="shared" si="0"/>
        <v>25</v>
      </c>
      <c r="R78" s="54">
        <f t="shared" si="1"/>
        <v>0</v>
      </c>
      <c r="S78" s="131">
        <f t="shared" si="2"/>
        <v>0</v>
      </c>
    </row>
    <row r="79" spans="2:19">
      <c r="B79" t="s">
        <v>68</v>
      </c>
      <c r="K79" s="46">
        <f>InputsResults!K15</f>
        <v>0.05</v>
      </c>
      <c r="N79" s="46">
        <f>InputsResults!L15</f>
        <v>0.05</v>
      </c>
      <c r="Q79" s="56">
        <f t="shared" si="0"/>
        <v>26</v>
      </c>
      <c r="R79" s="54">
        <f t="shared" si="1"/>
        <v>0</v>
      </c>
      <c r="S79" s="131">
        <f t="shared" si="2"/>
        <v>0</v>
      </c>
    </row>
    <row r="80" spans="2:19">
      <c r="B80" t="s">
        <v>69</v>
      </c>
      <c r="K80" s="48">
        <f>InputsResults!K16</f>
        <v>5.0000000000000001E-3</v>
      </c>
      <c r="N80" s="48">
        <f>InputsResults!L16</f>
        <v>5.0000000000000001E-3</v>
      </c>
      <c r="Q80" s="56">
        <f t="shared" si="0"/>
        <v>27</v>
      </c>
      <c r="R80" s="54">
        <f t="shared" si="1"/>
        <v>0</v>
      </c>
      <c r="S80" s="131">
        <f t="shared" si="2"/>
        <v>0</v>
      </c>
    </row>
    <row r="81" spans="2:19">
      <c r="B81" t="s">
        <v>70</v>
      </c>
      <c r="K81" s="47">
        <f>InputsResults!K17</f>
        <v>10</v>
      </c>
      <c r="N81" s="47">
        <f>InputsResults!L17</f>
        <v>20</v>
      </c>
      <c r="Q81" s="56">
        <f t="shared" si="0"/>
        <v>28</v>
      </c>
      <c r="R81" s="54">
        <f t="shared" si="1"/>
        <v>0</v>
      </c>
      <c r="S81" s="131">
        <f t="shared" si="2"/>
        <v>0</v>
      </c>
    </row>
    <row r="82" spans="2:19">
      <c r="B82" t="s">
        <v>71</v>
      </c>
      <c r="K82" s="88">
        <f>InputsResults!K18</f>
        <v>1</v>
      </c>
      <c r="N82" s="47">
        <f>InputsResults!L18</f>
        <v>1</v>
      </c>
      <c r="Q82" s="56">
        <f t="shared" si="0"/>
        <v>29</v>
      </c>
      <c r="R82" s="54">
        <f t="shared" si="1"/>
        <v>0</v>
      </c>
      <c r="S82" s="131">
        <f t="shared" si="2"/>
        <v>0</v>
      </c>
    </row>
    <row r="83" spans="2:19">
      <c r="B83" t="s">
        <v>72</v>
      </c>
      <c r="K83" s="46">
        <f>InputsResults!K19</f>
        <v>0.5</v>
      </c>
      <c r="N83" s="46">
        <f>InputsResults!L19</f>
        <v>1</v>
      </c>
      <c r="Q83" s="56">
        <f t="shared" si="0"/>
        <v>30</v>
      </c>
      <c r="R83" s="54">
        <f t="shared" si="1"/>
        <v>0</v>
      </c>
      <c r="S83" s="131">
        <f t="shared" si="2"/>
        <v>0</v>
      </c>
    </row>
    <row r="84" spans="2:19">
      <c r="B84" t="s">
        <v>73</v>
      </c>
      <c r="K84" s="45">
        <f>InputsResults!K20</f>
        <v>500</v>
      </c>
      <c r="N84" s="45">
        <f>InputsResults!L20</f>
        <v>1500</v>
      </c>
      <c r="Q84" s="56">
        <f t="shared" si="0"/>
        <v>31</v>
      </c>
      <c r="R84" s="54">
        <f t="shared" si="1"/>
        <v>0</v>
      </c>
      <c r="S84" s="131">
        <f t="shared" si="2"/>
        <v>0</v>
      </c>
    </row>
    <row r="85" spans="2:19">
      <c r="B85" t="s">
        <v>74</v>
      </c>
      <c r="K85" s="45">
        <f>InputsResults!K21</f>
        <v>0</v>
      </c>
      <c r="N85" s="45">
        <f>InputsResults!L21</f>
        <v>1000</v>
      </c>
      <c r="Q85" s="56">
        <f t="shared" si="0"/>
        <v>32</v>
      </c>
      <c r="R85" s="54">
        <f t="shared" si="1"/>
        <v>0</v>
      </c>
      <c r="S85" s="131">
        <f t="shared" si="2"/>
        <v>0</v>
      </c>
    </row>
    <row r="86" spans="2:19">
      <c r="B86" t="s">
        <v>75</v>
      </c>
      <c r="K86" s="45">
        <f>InputsResults!K22</f>
        <v>500</v>
      </c>
      <c r="N86" s="45">
        <f>InputsResults!L22</f>
        <v>1000</v>
      </c>
      <c r="Q86" s="56">
        <f t="shared" si="0"/>
        <v>33</v>
      </c>
      <c r="R86" s="54">
        <f t="shared" si="1"/>
        <v>0</v>
      </c>
      <c r="S86" s="131">
        <f t="shared" si="2"/>
        <v>0</v>
      </c>
    </row>
    <row r="87" spans="2:19">
      <c r="B87" t="s">
        <v>56</v>
      </c>
      <c r="K87" s="44">
        <v>2.75E-2</v>
      </c>
      <c r="N87" s="134">
        <f>K87</f>
        <v>2.75E-2</v>
      </c>
      <c r="Q87" s="56">
        <f t="shared" si="0"/>
        <v>34</v>
      </c>
      <c r="R87" s="54">
        <f t="shared" si="1"/>
        <v>0</v>
      </c>
      <c r="S87" s="131">
        <f t="shared" si="2"/>
        <v>0</v>
      </c>
    </row>
    <row r="88" spans="2:19">
      <c r="Q88" s="56">
        <f t="shared" si="0"/>
        <v>35</v>
      </c>
      <c r="R88" s="54">
        <f t="shared" si="1"/>
        <v>0</v>
      </c>
      <c r="S88" s="131">
        <f t="shared" si="2"/>
        <v>0</v>
      </c>
    </row>
    <row r="89" spans="2:19">
      <c r="B89" s="2" t="s">
        <v>31</v>
      </c>
      <c r="Q89" s="56">
        <f t="shared" si="0"/>
        <v>36</v>
      </c>
      <c r="R89" s="54">
        <f t="shared" si="1"/>
        <v>0</v>
      </c>
      <c r="S89" s="131">
        <f t="shared" si="2"/>
        <v>0</v>
      </c>
    </row>
    <row r="90" spans="2:19">
      <c r="B90" t="s">
        <v>43</v>
      </c>
      <c r="K90" s="41">
        <f>$K$80*NPV($K$87,R54:R103)</f>
        <v>5643.5365407497657</v>
      </c>
      <c r="N90" s="41">
        <f>$N$80*NPV($N$87,S54:S103)</f>
        <v>25304.103707580016</v>
      </c>
      <c r="Q90" s="56">
        <f t="shared" si="0"/>
        <v>37</v>
      </c>
      <c r="R90" s="54">
        <f t="shared" si="1"/>
        <v>0</v>
      </c>
      <c r="S90" s="131">
        <f t="shared" si="2"/>
        <v>0</v>
      </c>
    </row>
    <row r="91" spans="2:19">
      <c r="B91" t="s">
        <v>46</v>
      </c>
      <c r="K91" s="50">
        <f>-PV($K$87,$K$81,K84,0,0)</f>
        <v>4320.0380816943671</v>
      </c>
      <c r="N91" s="135">
        <f>-PV($N$87,$N$81,N84,0,0)</f>
        <v>22840.878200663425</v>
      </c>
      <c r="Q91" s="56">
        <f t="shared" si="0"/>
        <v>38</v>
      </c>
      <c r="R91" s="54">
        <f t="shared" si="1"/>
        <v>0</v>
      </c>
      <c r="S91" s="131">
        <f t="shared" si="2"/>
        <v>0</v>
      </c>
    </row>
    <row r="92" spans="2:19">
      <c r="B92" t="s">
        <v>50</v>
      </c>
      <c r="K92" s="51">
        <f>-PV($K$87,$K$81,K85,0,0)</f>
        <v>0</v>
      </c>
      <c r="N92" s="136">
        <f>-PV($N$87,$N$81,N85,0,0)</f>
        <v>15227.252133775615</v>
      </c>
      <c r="Q92" s="56">
        <f t="shared" si="0"/>
        <v>39</v>
      </c>
      <c r="R92" s="54">
        <f t="shared" si="1"/>
        <v>0</v>
      </c>
      <c r="S92" s="131">
        <f t="shared" si="2"/>
        <v>0</v>
      </c>
    </row>
    <row r="93" spans="2:19">
      <c r="B93" t="s">
        <v>48</v>
      </c>
      <c r="K93" s="52">
        <f>SUM(K90:K92)</f>
        <v>9963.5746224441318</v>
      </c>
      <c r="N93" s="64">
        <f>SUM(N90:N92)</f>
        <v>63372.234042019059</v>
      </c>
      <c r="Q93" s="56">
        <f t="shared" si="0"/>
        <v>40</v>
      </c>
      <c r="R93" s="54">
        <f t="shared" si="1"/>
        <v>0</v>
      </c>
      <c r="S93" s="131">
        <f t="shared" si="2"/>
        <v>0</v>
      </c>
    </row>
    <row r="94" spans="2:19">
      <c r="B94" t="s">
        <v>47</v>
      </c>
      <c r="K94" s="51">
        <f>$K$82*$K$83*K93</f>
        <v>4981.7873112220659</v>
      </c>
      <c r="N94" s="51">
        <f>$N$82*$N$83*N93</f>
        <v>63372.234042019059</v>
      </c>
      <c r="Q94" s="56">
        <f t="shared" si="0"/>
        <v>41</v>
      </c>
      <c r="R94" s="54">
        <f t="shared" si="1"/>
        <v>0</v>
      </c>
      <c r="S94" s="131">
        <f t="shared" si="2"/>
        <v>0</v>
      </c>
    </row>
    <row r="95" spans="2:19">
      <c r="B95" t="s">
        <v>45</v>
      </c>
      <c r="K95" s="41">
        <f>K93+K94</f>
        <v>14945.361933666198</v>
      </c>
      <c r="N95" s="64">
        <f>N93+N94</f>
        <v>126744.46808403812</v>
      </c>
      <c r="Q95" s="56">
        <f t="shared" si="0"/>
        <v>42</v>
      </c>
      <c r="R95" s="54">
        <f t="shared" si="1"/>
        <v>0</v>
      </c>
      <c r="S95" s="131">
        <f t="shared" si="2"/>
        <v>0</v>
      </c>
    </row>
    <row r="96" spans="2:19">
      <c r="B96" t="s">
        <v>49</v>
      </c>
      <c r="K96" s="51">
        <f>-$K$82*(1+$K$83)*PV($K$87,$K$81,K86,0,0)</f>
        <v>6480.0571225415506</v>
      </c>
      <c r="N96" s="137">
        <f>-$N$82*(1+$N$83)*PV($N$87,$N$81,N86,0,0)</f>
        <v>30454.50426755123</v>
      </c>
      <c r="Q96" s="56">
        <f t="shared" si="0"/>
        <v>43</v>
      </c>
      <c r="R96" s="54">
        <f t="shared" si="1"/>
        <v>0</v>
      </c>
      <c r="S96" s="131">
        <f t="shared" si="2"/>
        <v>0</v>
      </c>
    </row>
    <row r="97" spans="2:19" ht="15" thickBot="1">
      <c r="C97" s="2" t="s">
        <v>58</v>
      </c>
      <c r="D97" s="2"/>
      <c r="E97" s="2"/>
      <c r="F97" s="2"/>
      <c r="K97" s="62">
        <f>K95-K96</f>
        <v>8465.3048111246462</v>
      </c>
      <c r="N97" s="138">
        <f>N95-N96</f>
        <v>96289.963816486881</v>
      </c>
      <c r="Q97" s="56">
        <f t="shared" si="0"/>
        <v>44</v>
      </c>
      <c r="R97" s="54">
        <f t="shared" si="1"/>
        <v>0</v>
      </c>
      <c r="S97" s="131">
        <f t="shared" si="2"/>
        <v>0</v>
      </c>
    </row>
    <row r="98" spans="2:19" ht="15" thickTop="1">
      <c r="Q98" s="56">
        <f t="shared" si="0"/>
        <v>45</v>
      </c>
      <c r="R98" s="54">
        <f t="shared" si="1"/>
        <v>0</v>
      </c>
      <c r="S98" s="131">
        <f t="shared" si="2"/>
        <v>0</v>
      </c>
    </row>
    <row r="99" spans="2:19">
      <c r="B99" t="s">
        <v>109</v>
      </c>
      <c r="K99" s="63">
        <f>K52</f>
        <v>582.64355246974219</v>
      </c>
      <c r="N99" s="99">
        <f>N52</f>
        <v>15731.375916683037</v>
      </c>
      <c r="Q99" s="56">
        <f t="shared" si="0"/>
        <v>46</v>
      </c>
      <c r="R99" s="54">
        <f t="shared" si="1"/>
        <v>0</v>
      </c>
      <c r="S99" s="131">
        <f t="shared" si="2"/>
        <v>0</v>
      </c>
    </row>
    <row r="100" spans="2:19" ht="15" thickBot="1">
      <c r="C100" s="2" t="s">
        <v>78</v>
      </c>
      <c r="D100" s="2"/>
      <c r="E100" s="2"/>
      <c r="F100" s="2"/>
      <c r="G100" s="2"/>
      <c r="H100" s="2"/>
      <c r="K100" s="62">
        <f>K97*K99</f>
        <v>4932255.2678928636</v>
      </c>
      <c r="N100" s="62">
        <f>N97*N99</f>
        <v>1514773617.8009627</v>
      </c>
      <c r="Q100" s="56">
        <f t="shared" si="0"/>
        <v>47</v>
      </c>
      <c r="R100" s="54">
        <f t="shared" si="1"/>
        <v>0</v>
      </c>
      <c r="S100" s="131">
        <f t="shared" si="2"/>
        <v>0</v>
      </c>
    </row>
    <row r="101" spans="2:19" ht="15" thickTop="1">
      <c r="Q101" s="56">
        <f t="shared" si="0"/>
        <v>48</v>
      </c>
      <c r="R101" s="54">
        <f t="shared" si="1"/>
        <v>0</v>
      </c>
      <c r="S101" s="131">
        <f t="shared" si="2"/>
        <v>0</v>
      </c>
    </row>
    <row r="102" spans="2:19">
      <c r="B102" t="s">
        <v>110</v>
      </c>
      <c r="K102" s="64">
        <f>K65</f>
        <v>125005.73329731777</v>
      </c>
      <c r="N102" s="64">
        <f>N65</f>
        <v>3590280.0908719003</v>
      </c>
      <c r="Q102" s="56">
        <f t="shared" si="0"/>
        <v>49</v>
      </c>
      <c r="R102" s="54">
        <f t="shared" si="1"/>
        <v>0</v>
      </c>
      <c r="S102" s="131">
        <f t="shared" si="2"/>
        <v>0</v>
      </c>
    </row>
    <row r="103" spans="2:19" ht="15" thickBot="1">
      <c r="C103" s="2" t="s">
        <v>55</v>
      </c>
      <c r="K103" s="65">
        <f>K102/K100</f>
        <v>2.5344538453039592E-2</v>
      </c>
      <c r="N103" s="65">
        <f>N102/N100</f>
        <v>2.370176010910466E-3</v>
      </c>
      <c r="Q103" s="57">
        <f t="shared" si="0"/>
        <v>50</v>
      </c>
      <c r="R103" s="129">
        <f t="shared" si="1"/>
        <v>0</v>
      </c>
      <c r="S103" s="132">
        <f t="shared" si="2"/>
        <v>0</v>
      </c>
    </row>
    <row r="104" spans="2:19" ht="15" thickTop="1"/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InputsResults</vt:lpstr>
      <vt:lpstr>Model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LARRY</cp:lastModifiedBy>
  <cp:lastPrinted>2015-07-12T19:28:18Z</cp:lastPrinted>
  <dcterms:created xsi:type="dcterms:W3CDTF">2015-06-19T18:29:46Z</dcterms:created>
  <dcterms:modified xsi:type="dcterms:W3CDTF">2016-06-07T02:56:39Z</dcterms:modified>
</cp:coreProperties>
</file>